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OneDrive\Desktop\2024.12.10\"/>
    </mc:Choice>
  </mc:AlternateContent>
  <xr:revisionPtr revIDLastSave="0" documentId="13_ncr:1_{F2246FEA-6B7A-4F6D-9994-23ECB71B22E5}" xr6:coauthVersionLast="47" xr6:coauthVersionMax="47" xr10:uidLastSave="{00000000-0000-0000-0000-000000000000}"/>
  <bookViews>
    <workbookView xWindow="-120" yWindow="-120" windowWidth="29040" windowHeight="15720" tabRatio="919" firstSheet="4" activeTab="4" xr2:uid="{00000000-000D-0000-FFFF-FFFF00000000}"/>
  </bookViews>
  <sheets>
    <sheet name="C_Mn_Si_Al" sheetId="301" r:id="rId1"/>
    <sheet name="1.0898" sheetId="297" r:id="rId2"/>
    <sheet name="TADI-Catpovic6" sheetId="271" r:id="rId3"/>
    <sheet name="Mg_Mn_Si" sheetId="296" r:id="rId4"/>
    <sheet name="1.0330_3" sheetId="300" r:id="rId5"/>
    <sheet name="OK OK" sheetId="44" r:id="rId6"/>
    <sheet name="Tab1EQ 1_1" sheetId="275" r:id="rId7"/>
    <sheet name="Tab1EQ 1_2" sheetId="15" r:id="rId8"/>
    <sheet name="TIG.EQ_At_G_1" sheetId="2" r:id="rId9"/>
    <sheet name="TEOR.EQ_A_G_1" sheetId="20" r:id="rId10"/>
    <sheet name="opt 1" sheetId="35" r:id="rId11"/>
    <sheet name="All OPT" sheetId="302" r:id="rId12"/>
    <sheet name="opt 2" sheetId="49" r:id="rId13"/>
    <sheet name="opt 3" sheetId="50" r:id="rId14"/>
    <sheet name="opt 4" sheetId="281" r:id="rId15"/>
    <sheet name="opt 5" sheetId="59" r:id="rId16"/>
    <sheet name="opt 6" sheetId="82" r:id="rId17"/>
    <sheet name="opt 7" sheetId="90" r:id="rId18"/>
    <sheet name="opt 8" sheetId="94" r:id="rId19"/>
    <sheet name="opt 9" sheetId="95" r:id="rId20"/>
    <sheet name="opt 10" sheetId="102" r:id="rId21"/>
    <sheet name="opt 11" sheetId="106" r:id="rId22"/>
    <sheet name="opt 12" sheetId="107" r:id="rId23"/>
    <sheet name="opt 13" sheetId="111" r:id="rId24"/>
    <sheet name="Tab1EQ opt2_1" sheetId="276" r:id="rId25"/>
    <sheet name="Tab1EQ opt2_2" sheetId="51" r:id="rId26"/>
    <sheet name="TEOR.EQ_A_G_opt2" sheetId="48" r:id="rId27"/>
    <sheet name="TIG.EQ_At_G_opt2" sheetId="53" r:id="rId28"/>
    <sheet name="Tab1EQ 3_1" sheetId="278" r:id="rId29"/>
    <sheet name="Tab1EQ 3_2" sheetId="52" r:id="rId30"/>
    <sheet name="TIG.EQ_At_G_3" sheetId="55" r:id="rId31"/>
    <sheet name="TEOR.EQ_A_G_3" sheetId="56" r:id="rId32"/>
    <sheet name="Tab1EQ 4_1" sheetId="285" r:id="rId33"/>
    <sheet name="Tab1EQ 4_2" sheetId="282" r:id="rId34"/>
    <sheet name="TEOR.EQ_A_G_4" sheetId="64" r:id="rId35"/>
    <sheet name="Tab1EQ 5_1" sheetId="286" r:id="rId36"/>
    <sheet name="Tab1EQ 5_2" sheetId="61" r:id="rId37"/>
    <sheet name="TEOR.EQ_A_G_5" sheetId="65" r:id="rId38"/>
    <sheet name="TIG.EQ_At_G_5" sheetId="63" r:id="rId39"/>
    <sheet name="Tab1EQ 6_1" sheetId="287" r:id="rId40"/>
    <sheet name="Tab1EQ 6_2" sheetId="83" r:id="rId41"/>
    <sheet name="TIG.EQ_At_G_6" sheetId="84" r:id="rId42"/>
    <sheet name="TEOR.EQ_A_G_6" sheetId="85" r:id="rId43"/>
    <sheet name="Tab1EQ 7_1" sheetId="288" r:id="rId44"/>
    <sheet name="Tab1EQ 7_2" sheetId="89" r:id="rId45"/>
    <sheet name="TEOR.EQ_A_G_7" sheetId="88" r:id="rId46"/>
    <sheet name="Tab1EQ 8_1" sheetId="289" r:id="rId47"/>
    <sheet name="Tab1EQ 8_2" sheetId="93" r:id="rId48"/>
    <sheet name="TEOR.EQ_A_G_8" sheetId="92" r:id="rId49"/>
    <sheet name="Tab1EQ 9_1" sheetId="290" r:id="rId50"/>
    <sheet name="Tab1EQ 9_2" sheetId="96" r:id="rId51"/>
    <sheet name="TEOR.EQ_A_G_9" sheetId="97" r:id="rId52"/>
    <sheet name="Tab1EQ 10_1" sheetId="291" r:id="rId53"/>
    <sheet name="Tab1EQ 10_2" sheetId="101" r:id="rId54"/>
    <sheet name="TEOR.EQ_A_G_10" sheetId="100" r:id="rId55"/>
    <sheet name="Tab1EQ 11_1" sheetId="293" r:id="rId56"/>
    <sheet name="Tab1EQ 11_2" sheetId="105" r:id="rId57"/>
    <sheet name="TEOR.EQ_A_G_11" sheetId="104" r:id="rId58"/>
    <sheet name="Tab1EQ 12_1" sheetId="294" r:id="rId59"/>
    <sheet name="Tab1EQ 12_2" sheetId="108" r:id="rId60"/>
    <sheet name="TEOR.EQ_A_G_12" sheetId="109" r:id="rId61"/>
    <sheet name="Tab1EQ 13_1" sheetId="295" r:id="rId62"/>
    <sheet name="Tab1EQ 13_2" sheetId="112" r:id="rId63"/>
    <sheet name="TEOR.EQ_A_G_13" sheetId="113" r:id="rId64"/>
    <sheet name="GJS400_18 EQ 80,63" sheetId="40" r:id="rId65"/>
    <sheet name="GJS400_18 EQ 80,3" sheetId="46" r:id="rId66"/>
    <sheet name="GJS400_18 EQ 79,96" sheetId="47" r:id="rId67"/>
    <sheet name="GJS400_18 EQ 4" sheetId="66" r:id="rId68"/>
    <sheet name="GJS400_18 EQ 5" sheetId="67" r:id="rId69"/>
    <sheet name="GJS400_18 EQ 6" sheetId="86" r:id="rId70"/>
    <sheet name="GJS400_18 EQ 7" sheetId="87" r:id="rId71"/>
    <sheet name="GJS400_18 EQ 8" sheetId="91" r:id="rId72"/>
    <sheet name="GJS400_18 EQ 9" sheetId="98" r:id="rId73"/>
    <sheet name="GJS400_18 EQ 10" sheetId="99" r:id="rId74"/>
    <sheet name="GJS400_18 EQ 11" sheetId="103" r:id="rId75"/>
    <sheet name="GJS400_18 EQ 12" sheetId="110" r:id="rId76"/>
    <sheet name="GJS400_18 EQ 13" sheetId="114" r:id="rId77"/>
    <sheet name="GJS400_18" sheetId="39" r:id="rId78"/>
    <sheet name="ADI EQi (3)" sheetId="33" r:id="rId79"/>
    <sheet name="Tab1 OPT Raszet. s" sheetId="45" r:id="rId80"/>
    <sheet name="OPT.EQIWALENT_A_G (2)" sheetId="34" r:id="rId81"/>
    <sheet name="Tabelle1" sheetId="68" r:id="rId82"/>
    <sheet name="Tabelle4" sheetId="69" r:id="rId83"/>
  </sheets>
  <externalReferences>
    <externalReference r:id="rId8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44" l="1"/>
  <c r="O25" i="44"/>
  <c r="J16" i="44" s="1"/>
  <c r="O24" i="44"/>
  <c r="I16" i="44"/>
  <c r="C4" i="300"/>
  <c r="Q1" i="300" l="1"/>
  <c r="O1" i="300"/>
  <c r="N1" i="300"/>
  <c r="L1" i="300"/>
  <c r="G1" i="300"/>
  <c r="D1" i="300"/>
  <c r="C1" i="300"/>
  <c r="B60" i="300"/>
  <c r="B59" i="300"/>
  <c r="B50" i="300"/>
  <c r="B49" i="300"/>
  <c r="A46" i="300"/>
  <c r="B51" i="300"/>
  <c r="A48" i="300"/>
  <c r="K50" i="300"/>
  <c r="B44" i="300"/>
  <c r="N45" i="300" s="1"/>
  <c r="N46" i="300" s="1"/>
  <c r="A58" i="300"/>
  <c r="B54" i="300"/>
  <c r="N55" i="300" s="1"/>
  <c r="N56" i="300" s="1"/>
  <c r="K70" i="300"/>
  <c r="A68" i="300"/>
  <c r="B64" i="300"/>
  <c r="N65" i="300" s="1"/>
  <c r="N66" i="300" s="1"/>
  <c r="K80" i="300"/>
  <c r="A78" i="300"/>
  <c r="B74" i="300"/>
  <c r="M75" i="300" s="1"/>
  <c r="M76" i="300" s="1"/>
  <c r="R91" i="300"/>
  <c r="R90" i="300"/>
  <c r="R89" i="300"/>
  <c r="R88" i="300"/>
  <c r="A88" i="300"/>
  <c r="R87" i="300"/>
  <c r="B84" i="300"/>
  <c r="N85" i="300" s="1"/>
  <c r="N86" i="300" s="1"/>
  <c r="K101" i="300"/>
  <c r="A99" i="300"/>
  <c r="B95" i="300"/>
  <c r="N96" i="300" s="1"/>
  <c r="N97" i="300" s="1"/>
  <c r="O45" i="300" l="1"/>
  <c r="O46" i="300" s="1"/>
  <c r="R45" i="300"/>
  <c r="R46" i="300" s="1"/>
  <c r="T45" i="300"/>
  <c r="T46" i="300" s="1"/>
  <c r="C45" i="300"/>
  <c r="C46" i="300" s="1"/>
  <c r="H45" i="300"/>
  <c r="H46" i="300" s="1"/>
  <c r="D45" i="300"/>
  <c r="D46" i="300" s="1"/>
  <c r="U45" i="300"/>
  <c r="U46" i="300" s="1"/>
  <c r="F45" i="300"/>
  <c r="F46" i="300" s="1"/>
  <c r="X45" i="300"/>
  <c r="X46" i="300" s="1"/>
  <c r="I45" i="300"/>
  <c r="I46" i="300" s="1"/>
  <c r="Y45" i="300"/>
  <c r="Y46" i="300" s="1"/>
  <c r="V45" i="300"/>
  <c r="V46" i="300" s="1"/>
  <c r="W45" i="300"/>
  <c r="W46" i="300" s="1"/>
  <c r="L45" i="300"/>
  <c r="L46" i="300" s="1"/>
  <c r="P45" i="300"/>
  <c r="P46" i="300" s="1"/>
  <c r="B45" i="300"/>
  <c r="B46" i="300" s="1"/>
  <c r="S45" i="300"/>
  <c r="S46" i="300" s="1"/>
  <c r="E45" i="300"/>
  <c r="E46" i="300" s="1"/>
  <c r="Z45" i="300"/>
  <c r="Z46" i="300" s="1"/>
  <c r="K45" i="300"/>
  <c r="K46" i="300" s="1"/>
  <c r="M45" i="300"/>
  <c r="M46" i="300" s="1"/>
  <c r="Q45" i="300"/>
  <c r="Q46" i="300" s="1"/>
  <c r="G45" i="300"/>
  <c r="G46" i="300" s="1"/>
  <c r="J45" i="300"/>
  <c r="J46" i="300" s="1"/>
  <c r="P55" i="300"/>
  <c r="P56" i="300" s="1"/>
  <c r="C55" i="300"/>
  <c r="C56" i="300" s="1"/>
  <c r="S55" i="300"/>
  <c r="S56" i="300" s="1"/>
  <c r="D55" i="300"/>
  <c r="D56" i="300" s="1"/>
  <c r="T55" i="300"/>
  <c r="T56" i="300" s="1"/>
  <c r="U55" i="300"/>
  <c r="U56" i="300" s="1"/>
  <c r="Q55" i="300"/>
  <c r="Q56" i="300" s="1"/>
  <c r="G55" i="300"/>
  <c r="G56" i="300" s="1"/>
  <c r="W55" i="300"/>
  <c r="W56" i="300" s="1"/>
  <c r="R55" i="300"/>
  <c r="R56" i="300" s="1"/>
  <c r="V55" i="300"/>
  <c r="V56" i="300" s="1"/>
  <c r="I55" i="300"/>
  <c r="I56" i="300" s="1"/>
  <c r="Y55" i="300"/>
  <c r="Y56" i="300" s="1"/>
  <c r="O55" i="300"/>
  <c r="O56" i="300" s="1"/>
  <c r="B55" i="300"/>
  <c r="B56" i="300" s="1"/>
  <c r="A56" i="300" s="1"/>
  <c r="F55" i="300"/>
  <c r="F56" i="300" s="1"/>
  <c r="X55" i="300"/>
  <c r="X56" i="300" s="1"/>
  <c r="J55" i="300"/>
  <c r="J56" i="300" s="1"/>
  <c r="Z55" i="300"/>
  <c r="Z56" i="300" s="1"/>
  <c r="M55" i="300"/>
  <c r="M56" i="300" s="1"/>
  <c r="E55" i="300"/>
  <c r="E56" i="300" s="1"/>
  <c r="H55" i="300"/>
  <c r="H56" i="300" s="1"/>
  <c r="K55" i="300"/>
  <c r="K56" i="300" s="1"/>
  <c r="L55" i="300"/>
  <c r="L56" i="300" s="1"/>
  <c r="T65" i="300"/>
  <c r="T66" i="300" s="1"/>
  <c r="U65" i="300"/>
  <c r="U66" i="300" s="1"/>
  <c r="C65" i="300"/>
  <c r="C66" i="300" s="1"/>
  <c r="E65" i="300"/>
  <c r="E66" i="300" s="1"/>
  <c r="S65" i="300"/>
  <c r="S66" i="300" s="1"/>
  <c r="D65" i="300"/>
  <c r="D66" i="300" s="1"/>
  <c r="F65" i="300"/>
  <c r="F66" i="300" s="1"/>
  <c r="G65" i="300"/>
  <c r="G66" i="300" s="1"/>
  <c r="H65" i="300"/>
  <c r="H66" i="300" s="1"/>
  <c r="O65" i="300"/>
  <c r="O66" i="300" s="1"/>
  <c r="X65" i="300"/>
  <c r="X66" i="300" s="1"/>
  <c r="J65" i="300"/>
  <c r="J66" i="300" s="1"/>
  <c r="P65" i="300"/>
  <c r="P66" i="300" s="1"/>
  <c r="Q65" i="300"/>
  <c r="Q66" i="300" s="1"/>
  <c r="B65" i="300"/>
  <c r="B66" i="300" s="1"/>
  <c r="A66" i="300" s="1"/>
  <c r="R65" i="300"/>
  <c r="R66" i="300" s="1"/>
  <c r="W65" i="300"/>
  <c r="W66" i="300" s="1"/>
  <c r="I65" i="300"/>
  <c r="I66" i="300" s="1"/>
  <c r="L65" i="300"/>
  <c r="L66" i="300" s="1"/>
  <c r="K65" i="300"/>
  <c r="K66" i="300" s="1"/>
  <c r="M65" i="300"/>
  <c r="M66" i="300" s="1"/>
  <c r="V65" i="300"/>
  <c r="V66" i="300" s="1"/>
  <c r="Y65" i="300"/>
  <c r="Y66" i="300" s="1"/>
  <c r="Z65" i="300"/>
  <c r="Z66" i="300" s="1"/>
  <c r="O75" i="300"/>
  <c r="O76" i="300" s="1"/>
  <c r="P75" i="300"/>
  <c r="P76" i="300" s="1"/>
  <c r="R75" i="300"/>
  <c r="R76" i="300" s="1"/>
  <c r="S75" i="300"/>
  <c r="S76" i="300" s="1"/>
  <c r="T75" i="300"/>
  <c r="T76" i="300" s="1"/>
  <c r="E75" i="300"/>
  <c r="E76" i="300" s="1"/>
  <c r="U75" i="300"/>
  <c r="U76" i="300" s="1"/>
  <c r="F75" i="300"/>
  <c r="F76" i="300" s="1"/>
  <c r="V75" i="300"/>
  <c r="V76" i="300" s="1"/>
  <c r="G75" i="300"/>
  <c r="G76" i="300" s="1"/>
  <c r="W75" i="300"/>
  <c r="W76" i="300" s="1"/>
  <c r="H75" i="300"/>
  <c r="H76" i="300" s="1"/>
  <c r="X75" i="300"/>
  <c r="X76" i="300" s="1"/>
  <c r="Y75" i="300"/>
  <c r="Y76" i="300" s="1"/>
  <c r="J75" i="300"/>
  <c r="J76" i="300" s="1"/>
  <c r="Z75" i="300"/>
  <c r="Z76" i="300" s="1"/>
  <c r="K75" i="300"/>
  <c r="K76" i="300" s="1"/>
  <c r="N75" i="300"/>
  <c r="N76" i="300" s="1"/>
  <c r="Q75" i="300"/>
  <c r="Q76" i="300" s="1"/>
  <c r="B75" i="300"/>
  <c r="B76" i="300" s="1"/>
  <c r="A76" i="300" s="1"/>
  <c r="C75" i="300"/>
  <c r="C76" i="300" s="1"/>
  <c r="D75" i="300"/>
  <c r="D76" i="300" s="1"/>
  <c r="I75" i="300"/>
  <c r="I76" i="300" s="1"/>
  <c r="L75" i="300"/>
  <c r="L76" i="300" s="1"/>
  <c r="P85" i="300"/>
  <c r="P86" i="300" s="1"/>
  <c r="Q85" i="300"/>
  <c r="Q86" i="300" s="1"/>
  <c r="U85" i="300"/>
  <c r="U86" i="300" s="1"/>
  <c r="V85" i="300"/>
  <c r="V86" i="300" s="1"/>
  <c r="X85" i="300"/>
  <c r="X86" i="300" s="1"/>
  <c r="B85" i="300"/>
  <c r="B86" i="300" s="1"/>
  <c r="A86" i="300" s="1"/>
  <c r="S85" i="300"/>
  <c r="S86" i="300" s="1"/>
  <c r="T85" i="300"/>
  <c r="T86" i="300" s="1"/>
  <c r="E85" i="300"/>
  <c r="E86" i="300" s="1"/>
  <c r="G85" i="300"/>
  <c r="G86" i="300" s="1"/>
  <c r="H85" i="300"/>
  <c r="H86" i="300" s="1"/>
  <c r="I85" i="300"/>
  <c r="I86" i="300" s="1"/>
  <c r="Y85" i="300"/>
  <c r="Y86" i="300" s="1"/>
  <c r="O85" i="300"/>
  <c r="O86" i="300" s="1"/>
  <c r="R85" i="300"/>
  <c r="R86" i="300" s="1"/>
  <c r="C85" i="300"/>
  <c r="C86" i="300" s="1"/>
  <c r="D85" i="300"/>
  <c r="D86" i="300" s="1"/>
  <c r="F85" i="300"/>
  <c r="F86" i="300" s="1"/>
  <c r="W85" i="300"/>
  <c r="W86" i="300" s="1"/>
  <c r="Z85" i="300"/>
  <c r="Z86" i="300" s="1"/>
  <c r="K85" i="300"/>
  <c r="K86" i="300" s="1"/>
  <c r="M85" i="300"/>
  <c r="M86" i="300" s="1"/>
  <c r="J85" i="300"/>
  <c r="J86" i="300" s="1"/>
  <c r="L85" i="300"/>
  <c r="L86" i="300" s="1"/>
  <c r="B96" i="300"/>
  <c r="B97" i="300" s="1"/>
  <c r="A97" i="300" s="1"/>
  <c r="C96" i="300"/>
  <c r="C97" i="300" s="1"/>
  <c r="F96" i="300"/>
  <c r="F97" i="300" s="1"/>
  <c r="Q96" i="300"/>
  <c r="Q97" i="300" s="1"/>
  <c r="H96" i="300"/>
  <c r="H97" i="300" s="1"/>
  <c r="Z96" i="300"/>
  <c r="Z97" i="300" s="1"/>
  <c r="P96" i="300"/>
  <c r="P97" i="300" s="1"/>
  <c r="E96" i="300"/>
  <c r="E97" i="300" s="1"/>
  <c r="D96" i="300"/>
  <c r="D97" i="300" s="1"/>
  <c r="G96" i="300"/>
  <c r="G97" i="300" s="1"/>
  <c r="X96" i="300"/>
  <c r="X97" i="300" s="1"/>
  <c r="K96" i="300"/>
  <c r="K97" i="300" s="1"/>
  <c r="L96" i="300"/>
  <c r="L97" i="300" s="1"/>
  <c r="O96" i="300"/>
  <c r="O97" i="300" s="1"/>
  <c r="S96" i="300"/>
  <c r="S97" i="300" s="1"/>
  <c r="T96" i="300"/>
  <c r="T97" i="300" s="1"/>
  <c r="U96" i="300"/>
  <c r="U97" i="300" s="1"/>
  <c r="V96" i="300"/>
  <c r="V97" i="300" s="1"/>
  <c r="W96" i="300"/>
  <c r="W97" i="300" s="1"/>
  <c r="I96" i="300"/>
  <c r="I97" i="300" s="1"/>
  <c r="J96" i="300"/>
  <c r="J97" i="300" s="1"/>
  <c r="M96" i="300"/>
  <c r="M97" i="300" s="1"/>
  <c r="R96" i="300"/>
  <c r="R97" i="300" s="1"/>
  <c r="Y96" i="300"/>
  <c r="Y97" i="300" s="1"/>
  <c r="B89" i="300" l="1"/>
  <c r="B90" i="300"/>
  <c r="B91" i="300" s="1"/>
  <c r="B80" i="300"/>
  <c r="B79" i="300"/>
  <c r="B81" i="300" s="1"/>
  <c r="B70" i="300"/>
  <c r="B69" i="300"/>
  <c r="B100" i="300"/>
  <c r="B101" i="300"/>
  <c r="B71" i="300" l="1"/>
  <c r="B61" i="300"/>
  <c r="B102" i="300"/>
  <c r="AM23" i="44" l="1"/>
  <c r="AM24" i="44" s="1"/>
  <c r="AM26" i="44" s="1"/>
  <c r="AL23" i="44"/>
  <c r="AL24" i="44" s="1"/>
  <c r="AL26" i="44" s="1"/>
  <c r="AK23" i="44"/>
  <c r="AK24" i="44" s="1"/>
  <c r="AJ22" i="44"/>
  <c r="AJ23" i="44" s="1"/>
  <c r="V24" i="44"/>
  <c r="Q24" i="44"/>
  <c r="Q26" i="44" s="1"/>
  <c r="AE23" i="44"/>
  <c r="AE24" i="44" s="1"/>
  <c r="AE26" i="44" s="1"/>
  <c r="AD23" i="44"/>
  <c r="AD24" i="44" s="1"/>
  <c r="AD26" i="44" s="1"/>
  <c r="AC23" i="44"/>
  <c r="AC24" i="44" s="1"/>
  <c r="X23" i="44"/>
  <c r="X24" i="44" s="1"/>
  <c r="W23" i="44"/>
  <c r="W24" i="44" s="1"/>
  <c r="V23" i="44"/>
  <c r="Q23" i="44"/>
  <c r="P23" i="44"/>
  <c r="P24" i="44" s="1"/>
  <c r="P26" i="44" s="1"/>
  <c r="O23" i="44"/>
  <c r="J23" i="44"/>
  <c r="J24" i="44" s="1"/>
  <c r="J26" i="44" s="1"/>
  <c r="I23" i="44"/>
  <c r="I24" i="44" s="1"/>
  <c r="I26" i="44" s="1"/>
  <c r="H23" i="44"/>
  <c r="H24" i="44" s="1"/>
  <c r="AB22" i="44"/>
  <c r="AB23" i="44" s="1"/>
  <c r="U22" i="44"/>
  <c r="U23" i="44" s="1"/>
  <c r="N22" i="44"/>
  <c r="N23" i="44" s="1"/>
  <c r="G22" i="44"/>
  <c r="G23" i="44" s="1"/>
  <c r="AN23" i="44" l="1"/>
  <c r="AJ24" i="44"/>
  <c r="K23" i="44"/>
  <c r="G24" i="44"/>
  <c r="G26" i="44" s="1"/>
  <c r="N24" i="44"/>
  <c r="R23" i="44"/>
  <c r="Y23" i="44"/>
  <c r="U24" i="44"/>
  <c r="AB24" i="44"/>
  <c r="AF23" i="44"/>
  <c r="AJ26" i="44" l="1"/>
  <c r="AN24" i="44"/>
  <c r="AF24" i="44"/>
  <c r="AB26" i="44"/>
  <c r="Y24" i="44"/>
  <c r="N26" i="44"/>
  <c r="R24" i="44"/>
  <c r="K24" i="44"/>
  <c r="B1" i="300" l="1"/>
  <c r="C19" i="300"/>
  <c r="D19" i="300"/>
  <c r="E19" i="300"/>
  <c r="F19" i="300"/>
  <c r="G19" i="300"/>
  <c r="H19" i="300"/>
  <c r="I19" i="300"/>
  <c r="J19" i="300"/>
  <c r="K19" i="300"/>
  <c r="L19" i="300"/>
  <c r="M19" i="300"/>
  <c r="N19" i="300"/>
  <c r="A130" i="300"/>
  <c r="Z33" i="300" l="1"/>
  <c r="Y33" i="300"/>
  <c r="X33" i="300"/>
  <c r="W33" i="300"/>
  <c r="V33" i="300"/>
  <c r="U33" i="300"/>
  <c r="T33" i="300"/>
  <c r="S33" i="300"/>
  <c r="R33" i="300"/>
  <c r="Q33" i="300"/>
  <c r="P33" i="300"/>
  <c r="O33" i="300"/>
  <c r="N33" i="300"/>
  <c r="M33" i="300"/>
  <c r="L33" i="300"/>
  <c r="K33" i="300"/>
  <c r="J33" i="300"/>
  <c r="I33" i="300"/>
  <c r="H33" i="300"/>
  <c r="G33" i="300"/>
  <c r="F33" i="300"/>
  <c r="E33" i="300"/>
  <c r="D33" i="300"/>
  <c r="C33" i="300"/>
  <c r="S4" i="300"/>
  <c r="T4" i="300"/>
  <c r="U4" i="300"/>
  <c r="Z2" i="300"/>
  <c r="Z4" i="300" s="1"/>
  <c r="Y2" i="300"/>
  <c r="Y4" i="300" s="1"/>
  <c r="X2" i="300"/>
  <c r="X4" i="300" s="1"/>
  <c r="W2" i="300"/>
  <c r="W4" i="300" s="1"/>
  <c r="V2" i="300"/>
  <c r="V4" i="300" s="1"/>
  <c r="U2" i="300"/>
  <c r="T2" i="300"/>
  <c r="S2" i="300"/>
  <c r="R2" i="300"/>
  <c r="R4" i="300" s="1"/>
  <c r="Q2" i="300"/>
  <c r="Q4" i="300" s="1"/>
  <c r="P2" i="300"/>
  <c r="P4" i="300" s="1"/>
  <c r="O2" i="300"/>
  <c r="O4" i="300" s="1"/>
  <c r="N2" i="300"/>
  <c r="N4" i="300" s="1"/>
  <c r="M2" i="300"/>
  <c r="M4" i="300" s="1"/>
  <c r="L2" i="300"/>
  <c r="L4" i="300" s="1"/>
  <c r="K2" i="300"/>
  <c r="K4" i="300" s="1"/>
  <c r="J2" i="300"/>
  <c r="J4" i="300" s="1"/>
  <c r="I2" i="300"/>
  <c r="I4" i="300" s="1"/>
  <c r="H2" i="300"/>
  <c r="H4" i="300" s="1"/>
  <c r="G2" i="300"/>
  <c r="G4" i="300" s="1"/>
  <c r="F2" i="300"/>
  <c r="F4" i="300" s="1"/>
  <c r="E2" i="300"/>
  <c r="E4" i="300" s="1"/>
  <c r="D2" i="300"/>
  <c r="D4" i="300" s="1"/>
  <c r="C2" i="300"/>
  <c r="M2" i="15" l="1"/>
  <c r="M7" i="15" s="1"/>
  <c r="B2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A2" i="20" l="1"/>
  <c r="R213" i="300" l="1"/>
  <c r="R212" i="300"/>
  <c r="K212" i="300"/>
  <c r="R211" i="300"/>
  <c r="R210" i="300"/>
  <c r="R209" i="300"/>
  <c r="B206" i="300"/>
  <c r="O207" i="300" s="1"/>
  <c r="O208" i="300" s="1"/>
  <c r="R203" i="300"/>
  <c r="R202" i="300"/>
  <c r="K202" i="300"/>
  <c r="R201" i="300"/>
  <c r="R200" i="300"/>
  <c r="R199" i="300"/>
  <c r="B196" i="300"/>
  <c r="O197" i="300" s="1"/>
  <c r="O198" i="300" s="1"/>
  <c r="R193" i="300"/>
  <c r="R192" i="300"/>
  <c r="K192" i="300"/>
  <c r="R191" i="300"/>
  <c r="R190" i="300"/>
  <c r="R189" i="300"/>
  <c r="B186" i="300"/>
  <c r="O187" i="300" s="1"/>
  <c r="O188" i="300" s="1"/>
  <c r="R183" i="300"/>
  <c r="R182" i="300"/>
  <c r="K182" i="300"/>
  <c r="R181" i="300"/>
  <c r="R180" i="300"/>
  <c r="R179" i="300"/>
  <c r="B176" i="300"/>
  <c r="O177" i="300" s="1"/>
  <c r="O178" i="300" s="1"/>
  <c r="R173" i="300"/>
  <c r="R172" i="300"/>
  <c r="K172" i="300"/>
  <c r="R171" i="300"/>
  <c r="R170" i="300"/>
  <c r="R169" i="300"/>
  <c r="B166" i="300"/>
  <c r="O167" i="300" s="1"/>
  <c r="O168" i="300" s="1"/>
  <c r="R163" i="300"/>
  <c r="R162" i="300"/>
  <c r="K162" i="300"/>
  <c r="R161" i="300"/>
  <c r="R160" i="300"/>
  <c r="R159" i="300"/>
  <c r="B156" i="300"/>
  <c r="O157" i="300" s="1"/>
  <c r="O158" i="300" s="1"/>
  <c r="R153" i="300"/>
  <c r="R152" i="300"/>
  <c r="K152" i="300"/>
  <c r="R151" i="300"/>
  <c r="R150" i="300"/>
  <c r="R149" i="300"/>
  <c r="B146" i="300"/>
  <c r="Y147" i="300" s="1"/>
  <c r="Y148" i="300" s="1"/>
  <c r="P207" i="300" l="1"/>
  <c r="P208" i="300" s="1"/>
  <c r="Q207" i="300"/>
  <c r="Q208" i="300" s="1"/>
  <c r="B207" i="300"/>
  <c r="B208" i="300" s="1"/>
  <c r="A208" i="300" s="1"/>
  <c r="T207" i="300"/>
  <c r="T208" i="300" s="1"/>
  <c r="W207" i="300"/>
  <c r="W208" i="300" s="1"/>
  <c r="V207" i="300"/>
  <c r="V208" i="300" s="1"/>
  <c r="C207" i="300"/>
  <c r="C208" i="300" s="1"/>
  <c r="E207" i="300"/>
  <c r="E208" i="300" s="1"/>
  <c r="Y207" i="300"/>
  <c r="Y208" i="300" s="1"/>
  <c r="J207" i="300"/>
  <c r="J208" i="300" s="1"/>
  <c r="K207" i="300"/>
  <c r="K208" i="300" s="1"/>
  <c r="N207" i="300"/>
  <c r="N208" i="300" s="1"/>
  <c r="R207" i="300"/>
  <c r="R208" i="300" s="1"/>
  <c r="S207" i="300"/>
  <c r="S208" i="300" s="1"/>
  <c r="D207" i="300"/>
  <c r="D208" i="300" s="1"/>
  <c r="U207" i="300"/>
  <c r="U208" i="300" s="1"/>
  <c r="F207" i="300"/>
  <c r="F208" i="300" s="1"/>
  <c r="G207" i="300"/>
  <c r="G208" i="300" s="1"/>
  <c r="H207" i="300"/>
  <c r="H208" i="300" s="1"/>
  <c r="X207" i="300"/>
  <c r="X208" i="300" s="1"/>
  <c r="I207" i="300"/>
  <c r="I208" i="300" s="1"/>
  <c r="I210" i="300" s="1"/>
  <c r="A210" i="300" s="1"/>
  <c r="Z207" i="300"/>
  <c r="Z208" i="300" s="1"/>
  <c r="L207" i="300"/>
  <c r="L208" i="300" s="1"/>
  <c r="M207" i="300"/>
  <c r="M208" i="300" s="1"/>
  <c r="R197" i="300"/>
  <c r="R198" i="300" s="1"/>
  <c r="S197" i="300"/>
  <c r="S198" i="300" s="1"/>
  <c r="D197" i="300"/>
  <c r="D198" i="300" s="1"/>
  <c r="U197" i="300"/>
  <c r="U198" i="300" s="1"/>
  <c r="V197" i="300"/>
  <c r="V198" i="300" s="1"/>
  <c r="G197" i="300"/>
  <c r="G198" i="300" s="1"/>
  <c r="H197" i="300"/>
  <c r="H198" i="300" s="1"/>
  <c r="X197" i="300"/>
  <c r="X198" i="300" s="1"/>
  <c r="Y197" i="300"/>
  <c r="Y198" i="300" s="1"/>
  <c r="J197" i="300"/>
  <c r="J198" i="300" s="1"/>
  <c r="Z197" i="300"/>
  <c r="Z198" i="300" s="1"/>
  <c r="K197" i="300"/>
  <c r="K198" i="300" s="1"/>
  <c r="L197" i="300"/>
  <c r="L198" i="300" s="1"/>
  <c r="N197" i="300"/>
  <c r="N198" i="300" s="1"/>
  <c r="P197" i="300"/>
  <c r="P198" i="300" s="1"/>
  <c r="Q197" i="300"/>
  <c r="Q198" i="300" s="1"/>
  <c r="B197" i="300"/>
  <c r="B198" i="300" s="1"/>
  <c r="A198" i="300" s="1"/>
  <c r="C197" i="300"/>
  <c r="C198" i="300" s="1"/>
  <c r="T197" i="300"/>
  <c r="T198" i="300" s="1"/>
  <c r="E197" i="300"/>
  <c r="E198" i="300" s="1"/>
  <c r="F197" i="300"/>
  <c r="F198" i="300" s="1"/>
  <c r="W197" i="300"/>
  <c r="W198" i="300" s="1"/>
  <c r="I197" i="300"/>
  <c r="I198" i="300" s="1"/>
  <c r="I200" i="300" s="1"/>
  <c r="A200" i="300" s="1"/>
  <c r="M197" i="300"/>
  <c r="M198" i="300" s="1"/>
  <c r="P187" i="300"/>
  <c r="P188" i="300" s="1"/>
  <c r="R187" i="300"/>
  <c r="R188" i="300" s="1"/>
  <c r="B187" i="300"/>
  <c r="B188" i="300" s="1"/>
  <c r="A188" i="300" s="1"/>
  <c r="S187" i="300"/>
  <c r="S188" i="300" s="1"/>
  <c r="T187" i="300"/>
  <c r="T188" i="300" s="1"/>
  <c r="E187" i="300"/>
  <c r="E188" i="300" s="1"/>
  <c r="V187" i="300"/>
  <c r="V188" i="300" s="1"/>
  <c r="G187" i="300"/>
  <c r="G188" i="300" s="1"/>
  <c r="X187" i="300"/>
  <c r="X188" i="300" s="1"/>
  <c r="I187" i="300"/>
  <c r="I188" i="300" s="1"/>
  <c r="I190" i="300" s="1"/>
  <c r="A190" i="300" s="1"/>
  <c r="J187" i="300"/>
  <c r="J188" i="300" s="1"/>
  <c r="N187" i="300"/>
  <c r="N188" i="300" s="1"/>
  <c r="Q187" i="300"/>
  <c r="Q188" i="300" s="1"/>
  <c r="C187" i="300"/>
  <c r="C188" i="300" s="1"/>
  <c r="D187" i="300"/>
  <c r="D188" i="300" s="1"/>
  <c r="U187" i="300"/>
  <c r="U188" i="300" s="1"/>
  <c r="F187" i="300"/>
  <c r="F188" i="300" s="1"/>
  <c r="W187" i="300"/>
  <c r="W188" i="300" s="1"/>
  <c r="H187" i="300"/>
  <c r="H188" i="300" s="1"/>
  <c r="Y187" i="300"/>
  <c r="Y188" i="300" s="1"/>
  <c r="Z187" i="300"/>
  <c r="Z188" i="300" s="1"/>
  <c r="K187" i="300"/>
  <c r="K188" i="300" s="1"/>
  <c r="L187" i="300"/>
  <c r="L188" i="300" s="1"/>
  <c r="M187" i="300"/>
  <c r="M188" i="300" s="1"/>
  <c r="P177" i="300"/>
  <c r="P178" i="300" s="1"/>
  <c r="B177" i="300"/>
  <c r="B178" i="300" s="1"/>
  <c r="A178" i="300" s="1"/>
  <c r="C177" i="300"/>
  <c r="C178" i="300" s="1"/>
  <c r="D177" i="300"/>
  <c r="D178" i="300" s="1"/>
  <c r="V177" i="300"/>
  <c r="V178" i="300" s="1"/>
  <c r="G177" i="300"/>
  <c r="G178" i="300" s="1"/>
  <c r="Q177" i="300"/>
  <c r="Q178" i="300" s="1"/>
  <c r="R177" i="300"/>
  <c r="R178" i="300" s="1"/>
  <c r="S177" i="300"/>
  <c r="S178" i="300" s="1"/>
  <c r="T177" i="300"/>
  <c r="T178" i="300" s="1"/>
  <c r="E177" i="300"/>
  <c r="E178" i="300" s="1"/>
  <c r="U177" i="300"/>
  <c r="U178" i="300" s="1"/>
  <c r="F177" i="300"/>
  <c r="F178" i="300" s="1"/>
  <c r="W177" i="300"/>
  <c r="W178" i="300" s="1"/>
  <c r="H177" i="300"/>
  <c r="H178" i="300" s="1"/>
  <c r="X177" i="300"/>
  <c r="X178" i="300" s="1"/>
  <c r="I177" i="300"/>
  <c r="I178" i="300" s="1"/>
  <c r="I180" i="300" s="1"/>
  <c r="A180" i="300" s="1"/>
  <c r="Y177" i="300"/>
  <c r="Y178" i="300" s="1"/>
  <c r="J177" i="300"/>
  <c r="J178" i="300" s="1"/>
  <c r="Z177" i="300"/>
  <c r="Z178" i="300" s="1"/>
  <c r="K177" i="300"/>
  <c r="K178" i="300" s="1"/>
  <c r="L177" i="300"/>
  <c r="L178" i="300" s="1"/>
  <c r="M177" i="300"/>
  <c r="M178" i="300" s="1"/>
  <c r="N177" i="300"/>
  <c r="N178" i="300" s="1"/>
  <c r="R167" i="300"/>
  <c r="R168" i="300" s="1"/>
  <c r="Q167" i="300"/>
  <c r="Q168" i="300" s="1"/>
  <c r="S167" i="300"/>
  <c r="S168" i="300" s="1"/>
  <c r="X167" i="300"/>
  <c r="X168" i="300" s="1"/>
  <c r="P167" i="300"/>
  <c r="P168" i="300" s="1"/>
  <c r="C167" i="300"/>
  <c r="C168" i="300" s="1"/>
  <c r="T167" i="300"/>
  <c r="T168" i="300" s="1"/>
  <c r="U167" i="300"/>
  <c r="U168" i="300" s="1"/>
  <c r="V167" i="300"/>
  <c r="V168" i="300" s="1"/>
  <c r="G167" i="300"/>
  <c r="G168" i="300" s="1"/>
  <c r="Y167" i="300"/>
  <c r="Y168" i="300" s="1"/>
  <c r="J167" i="300"/>
  <c r="J168" i="300" s="1"/>
  <c r="Z167" i="300"/>
  <c r="Z168" i="300" s="1"/>
  <c r="K167" i="300"/>
  <c r="K168" i="300" s="1"/>
  <c r="L167" i="300"/>
  <c r="L168" i="300" s="1"/>
  <c r="M167" i="300"/>
  <c r="M168" i="300" s="1"/>
  <c r="B167" i="300"/>
  <c r="B168" i="300" s="1"/>
  <c r="A168" i="300" s="1"/>
  <c r="D167" i="300"/>
  <c r="D168" i="300" s="1"/>
  <c r="E167" i="300"/>
  <c r="E168" i="300" s="1"/>
  <c r="F167" i="300"/>
  <c r="F168" i="300" s="1"/>
  <c r="W167" i="300"/>
  <c r="W168" i="300" s="1"/>
  <c r="H167" i="300"/>
  <c r="H168" i="300" s="1"/>
  <c r="I167" i="300"/>
  <c r="I168" i="300" s="1"/>
  <c r="A170" i="300" s="1"/>
  <c r="N167" i="300"/>
  <c r="N168" i="300" s="1"/>
  <c r="P157" i="300"/>
  <c r="P158" i="300" s="1"/>
  <c r="S157" i="300"/>
  <c r="S158" i="300" s="1"/>
  <c r="V157" i="300"/>
  <c r="V158" i="300" s="1"/>
  <c r="Y157" i="300"/>
  <c r="Y158" i="300" s="1"/>
  <c r="Q157" i="300"/>
  <c r="Q158" i="300" s="1"/>
  <c r="B157" i="300"/>
  <c r="B158" i="300" s="1"/>
  <c r="A158" i="300" s="1"/>
  <c r="T157" i="300"/>
  <c r="T158" i="300" s="1"/>
  <c r="E157" i="300"/>
  <c r="E158" i="300" s="1"/>
  <c r="W157" i="300"/>
  <c r="W158" i="300" s="1"/>
  <c r="X157" i="300"/>
  <c r="X158" i="300" s="1"/>
  <c r="Z157" i="300"/>
  <c r="Z158" i="300" s="1"/>
  <c r="K157" i="300"/>
  <c r="K158" i="300" s="1"/>
  <c r="L157" i="300"/>
  <c r="L158" i="300" s="1"/>
  <c r="N157" i="300"/>
  <c r="N158" i="300" s="1"/>
  <c r="R157" i="300"/>
  <c r="R158" i="300" s="1"/>
  <c r="C157" i="300"/>
  <c r="C158" i="300" s="1"/>
  <c r="D157" i="300"/>
  <c r="D158" i="300" s="1"/>
  <c r="U157" i="300"/>
  <c r="U158" i="300" s="1"/>
  <c r="F157" i="300"/>
  <c r="F158" i="300" s="1"/>
  <c r="G157" i="300"/>
  <c r="G158" i="300" s="1"/>
  <c r="H157" i="300"/>
  <c r="H158" i="300" s="1"/>
  <c r="I157" i="300"/>
  <c r="I158" i="300" s="1"/>
  <c r="I160" i="300" s="1"/>
  <c r="A160" i="300" s="1"/>
  <c r="J157" i="300"/>
  <c r="J158" i="300" s="1"/>
  <c r="M157" i="300"/>
  <c r="M158" i="300" s="1"/>
  <c r="L147" i="300"/>
  <c r="L148" i="300" s="1"/>
  <c r="J147" i="300"/>
  <c r="J148" i="300" s="1"/>
  <c r="O147" i="300"/>
  <c r="O148" i="300" s="1"/>
  <c r="M147" i="300"/>
  <c r="M148" i="300" s="1"/>
  <c r="N147" i="300"/>
  <c r="N148" i="300" s="1"/>
  <c r="K147" i="300"/>
  <c r="K148" i="300" s="1"/>
  <c r="Z147" i="300"/>
  <c r="Z148" i="300" s="1"/>
  <c r="R147" i="300"/>
  <c r="R148" i="300" s="1"/>
  <c r="S147" i="300"/>
  <c r="S148" i="300" s="1"/>
  <c r="D147" i="300"/>
  <c r="D148" i="300" s="1"/>
  <c r="U147" i="300"/>
  <c r="U148" i="300" s="1"/>
  <c r="V147" i="300"/>
  <c r="V148" i="300" s="1"/>
  <c r="G147" i="300"/>
  <c r="G148" i="300" s="1"/>
  <c r="H147" i="300"/>
  <c r="H148" i="300" s="1"/>
  <c r="X147" i="300"/>
  <c r="X148" i="300" s="1"/>
  <c r="P147" i="300"/>
  <c r="P148" i="300" s="1"/>
  <c r="Q147" i="300"/>
  <c r="Q148" i="300" s="1"/>
  <c r="B147" i="300"/>
  <c r="B148" i="300" s="1"/>
  <c r="A148" i="300" s="1"/>
  <c r="C147" i="300"/>
  <c r="C148" i="300" s="1"/>
  <c r="T147" i="300"/>
  <c r="T148" i="300" s="1"/>
  <c r="E147" i="300"/>
  <c r="E148" i="300" s="1"/>
  <c r="F147" i="300"/>
  <c r="F148" i="300" s="1"/>
  <c r="W147" i="300"/>
  <c r="W148" i="300" s="1"/>
  <c r="I147" i="300"/>
  <c r="I148" i="300" s="1"/>
  <c r="I150" i="300" s="1"/>
  <c r="A150" i="300" s="1"/>
  <c r="B171" i="300" l="1"/>
  <c r="B172" i="300"/>
  <c r="B151" i="300"/>
  <c r="B152" i="300"/>
  <c r="B162" i="300"/>
  <c r="B161" i="300"/>
  <c r="B211" i="300"/>
  <c r="B212" i="300"/>
  <c r="B201" i="300"/>
  <c r="B202" i="300"/>
  <c r="B192" i="300"/>
  <c r="B191" i="300"/>
  <c r="B181" i="300"/>
  <c r="B182" i="300"/>
  <c r="B163" i="300"/>
  <c r="B153" i="300" l="1"/>
  <c r="B213" i="300"/>
  <c r="B203" i="300"/>
  <c r="B193" i="300"/>
  <c r="B183" i="300"/>
  <c r="B173" i="300"/>
  <c r="R143" i="300" l="1"/>
  <c r="R142" i="300"/>
  <c r="K142" i="300"/>
  <c r="R141" i="300"/>
  <c r="R140" i="300"/>
  <c r="R139" i="300"/>
  <c r="B136" i="300"/>
  <c r="N137" i="300" s="1"/>
  <c r="N138" i="300" s="1"/>
  <c r="R133" i="300"/>
  <c r="R132" i="300"/>
  <c r="K132" i="300"/>
  <c r="R131" i="300"/>
  <c r="R130" i="300"/>
  <c r="R129" i="300"/>
  <c r="B126" i="300"/>
  <c r="N127" i="300" s="1"/>
  <c r="N128" i="300" s="1"/>
  <c r="O137" i="300" l="1"/>
  <c r="O138" i="300" s="1"/>
  <c r="P137" i="300"/>
  <c r="P138" i="300" s="1"/>
  <c r="R137" i="300"/>
  <c r="R138" i="300" s="1"/>
  <c r="U137" i="300"/>
  <c r="U138" i="300" s="1"/>
  <c r="F137" i="300"/>
  <c r="F138" i="300" s="1"/>
  <c r="W137" i="300"/>
  <c r="W138" i="300" s="1"/>
  <c r="H137" i="300"/>
  <c r="H138" i="300" s="1"/>
  <c r="I137" i="300"/>
  <c r="I138" i="300" s="1"/>
  <c r="I140" i="300" s="1"/>
  <c r="A140" i="300" s="1"/>
  <c r="J137" i="300"/>
  <c r="J138" i="300" s="1"/>
  <c r="Z137" i="300"/>
  <c r="Z138" i="300" s="1"/>
  <c r="K137" i="300"/>
  <c r="K138" i="300" s="1"/>
  <c r="B141" i="300" s="1"/>
  <c r="B137" i="300"/>
  <c r="B138" i="300" s="1"/>
  <c r="A138" i="300" s="1"/>
  <c r="S137" i="300"/>
  <c r="S138" i="300" s="1"/>
  <c r="V137" i="300"/>
  <c r="V138" i="300" s="1"/>
  <c r="G137" i="300"/>
  <c r="G138" i="300" s="1"/>
  <c r="X137" i="300"/>
  <c r="X138" i="300" s="1"/>
  <c r="Y137" i="300"/>
  <c r="Y138" i="300" s="1"/>
  <c r="L137" i="300"/>
  <c r="L138" i="300" s="1"/>
  <c r="Q137" i="300"/>
  <c r="Q138" i="300" s="1"/>
  <c r="D137" i="300"/>
  <c r="D138" i="300" s="1"/>
  <c r="E137" i="300"/>
  <c r="E138" i="300" s="1"/>
  <c r="M137" i="300"/>
  <c r="M138" i="300" s="1"/>
  <c r="C137" i="300"/>
  <c r="C138" i="300" s="1"/>
  <c r="T137" i="300"/>
  <c r="T138" i="300" s="1"/>
  <c r="O127" i="300"/>
  <c r="O128" i="300" s="1"/>
  <c r="Q127" i="300"/>
  <c r="Q128" i="300" s="1"/>
  <c r="R127" i="300"/>
  <c r="R128" i="300" s="1"/>
  <c r="C127" i="300"/>
  <c r="C128" i="300" s="1"/>
  <c r="T127" i="300"/>
  <c r="T128" i="300" s="1"/>
  <c r="E127" i="300"/>
  <c r="E128" i="300" s="1"/>
  <c r="F127" i="300"/>
  <c r="F128" i="300" s="1"/>
  <c r="V127" i="300"/>
  <c r="V128" i="300" s="1"/>
  <c r="G127" i="300"/>
  <c r="G128" i="300" s="1"/>
  <c r="H127" i="300"/>
  <c r="H128" i="300" s="1"/>
  <c r="X127" i="300"/>
  <c r="X128" i="300" s="1"/>
  <c r="I127" i="300"/>
  <c r="I128" i="300" s="1"/>
  <c r="Y127" i="300"/>
  <c r="Y128" i="300" s="1"/>
  <c r="J127" i="300"/>
  <c r="J128" i="300" s="1"/>
  <c r="Z127" i="300"/>
  <c r="Z128" i="300" s="1"/>
  <c r="K127" i="300"/>
  <c r="K128" i="300" s="1"/>
  <c r="L127" i="300"/>
  <c r="L128" i="300" s="1"/>
  <c r="M127" i="300"/>
  <c r="M128" i="300" s="1"/>
  <c r="P127" i="300"/>
  <c r="P128" i="300" s="1"/>
  <c r="B127" i="300"/>
  <c r="B128" i="300" s="1"/>
  <c r="A128" i="300" s="1"/>
  <c r="S127" i="300"/>
  <c r="S128" i="300" s="1"/>
  <c r="D127" i="300"/>
  <c r="D128" i="300" s="1"/>
  <c r="U127" i="300"/>
  <c r="U128" i="300" s="1"/>
  <c r="W127" i="300"/>
  <c r="W128" i="300" s="1"/>
  <c r="B142" i="300" l="1"/>
  <c r="B132" i="300"/>
  <c r="B131" i="300"/>
  <c r="B143" i="300" l="1"/>
  <c r="B133" i="300"/>
  <c r="I22" i="300"/>
  <c r="I21" i="300"/>
  <c r="I20" i="300"/>
  <c r="I18" i="300"/>
  <c r="I2" i="282"/>
  <c r="H2" i="285"/>
  <c r="I2" i="285"/>
  <c r="G2" i="15" l="1"/>
  <c r="G18" i="15" s="1"/>
  <c r="B5" i="44"/>
  <c r="B10" i="44"/>
  <c r="B11" i="44"/>
  <c r="B6" i="44"/>
  <c r="AB45" i="302" l="1"/>
  <c r="AA45" i="302"/>
  <c r="Z45" i="302"/>
  <c r="Y45" i="302"/>
  <c r="X45" i="302"/>
  <c r="W45" i="302"/>
  <c r="V45" i="302"/>
  <c r="U45" i="302"/>
  <c r="T45" i="302"/>
  <c r="S45" i="302"/>
  <c r="R45" i="302"/>
  <c r="Q45" i="302"/>
  <c r="L45" i="302"/>
  <c r="K45" i="302"/>
  <c r="J45" i="302"/>
  <c r="H45" i="302"/>
  <c r="AB42" i="302"/>
  <c r="AA42" i="302"/>
  <c r="Z42" i="302"/>
  <c r="Y42" i="302"/>
  <c r="W42" i="302"/>
  <c r="X42" i="302"/>
  <c r="V42" i="302"/>
  <c r="U42" i="302"/>
  <c r="T42" i="302"/>
  <c r="S42" i="302"/>
  <c r="R42" i="302"/>
  <c r="Q42" i="302"/>
  <c r="L42" i="302"/>
  <c r="K42" i="302"/>
  <c r="J42" i="302"/>
  <c r="AB39" i="302"/>
  <c r="AA39" i="302"/>
  <c r="Z39" i="302"/>
  <c r="Y39" i="302"/>
  <c r="X39" i="302"/>
  <c r="W39" i="302"/>
  <c r="V39" i="302"/>
  <c r="U39" i="302"/>
  <c r="T39" i="302"/>
  <c r="S39" i="302"/>
  <c r="R39" i="302"/>
  <c r="Q39" i="302"/>
  <c r="L39" i="302"/>
  <c r="K39" i="302"/>
  <c r="J39" i="302"/>
  <c r="AB36" i="302"/>
  <c r="AA36" i="302"/>
  <c r="Z36" i="302"/>
  <c r="Y36" i="302"/>
  <c r="X36" i="302"/>
  <c r="W36" i="302"/>
  <c r="V36" i="302"/>
  <c r="U36" i="302"/>
  <c r="T36" i="302"/>
  <c r="S36" i="302"/>
  <c r="R36" i="302"/>
  <c r="Q36" i="302"/>
  <c r="L36" i="302"/>
  <c r="K36" i="302"/>
  <c r="J36" i="302"/>
  <c r="H36" i="302"/>
  <c r="AB33" i="302"/>
  <c r="AA33" i="302"/>
  <c r="Z33" i="302"/>
  <c r="Y33" i="302"/>
  <c r="X33" i="302"/>
  <c r="W33" i="302"/>
  <c r="V33" i="302"/>
  <c r="U33" i="302"/>
  <c r="T33" i="302"/>
  <c r="S33" i="302"/>
  <c r="R33" i="302"/>
  <c r="Q33" i="302"/>
  <c r="L33" i="302"/>
  <c r="K33" i="302"/>
  <c r="J33" i="302"/>
  <c r="AB30" i="302"/>
  <c r="AA30" i="302"/>
  <c r="Z30" i="302"/>
  <c r="Y30" i="302"/>
  <c r="X30" i="302"/>
  <c r="W30" i="302"/>
  <c r="V30" i="302"/>
  <c r="U30" i="302"/>
  <c r="T30" i="302"/>
  <c r="S30" i="302"/>
  <c r="R30" i="302"/>
  <c r="Q30" i="302"/>
  <c r="L30" i="302"/>
  <c r="K30" i="302"/>
  <c r="J30" i="302"/>
  <c r="AB27" i="302"/>
  <c r="AA27" i="302"/>
  <c r="Z27" i="302"/>
  <c r="Y27" i="302"/>
  <c r="X27" i="302"/>
  <c r="W27" i="302"/>
  <c r="V27" i="302"/>
  <c r="U27" i="302"/>
  <c r="T27" i="302"/>
  <c r="S27" i="302"/>
  <c r="R27" i="302"/>
  <c r="Q27" i="302"/>
  <c r="K27" i="302"/>
  <c r="J27" i="302"/>
  <c r="G27" i="302"/>
  <c r="AB24" i="302"/>
  <c r="AA24" i="302"/>
  <c r="Z24" i="302"/>
  <c r="Y24" i="302"/>
  <c r="X24" i="302"/>
  <c r="W24" i="302"/>
  <c r="V24" i="302"/>
  <c r="U24" i="302"/>
  <c r="T24" i="302"/>
  <c r="S24" i="302"/>
  <c r="R24" i="302"/>
  <c r="Q24" i="302"/>
  <c r="K24" i="302"/>
  <c r="J24" i="302"/>
  <c r="G24" i="302"/>
  <c r="E24" i="302"/>
  <c r="AB21" i="302"/>
  <c r="AA21" i="302"/>
  <c r="Z21" i="302"/>
  <c r="Y21" i="302"/>
  <c r="X21" i="302"/>
  <c r="W21" i="302"/>
  <c r="V21" i="302"/>
  <c r="U21" i="302"/>
  <c r="T21" i="302"/>
  <c r="S21" i="302"/>
  <c r="R21" i="302"/>
  <c r="Q21" i="302"/>
  <c r="K21" i="302"/>
  <c r="J21" i="302"/>
  <c r="G21" i="302"/>
  <c r="AB18" i="302"/>
  <c r="AA18" i="302"/>
  <c r="Z18" i="302"/>
  <c r="Y18" i="302"/>
  <c r="X18" i="302"/>
  <c r="W18" i="302"/>
  <c r="V18" i="302"/>
  <c r="U18" i="302"/>
  <c r="T18" i="302"/>
  <c r="S18" i="302"/>
  <c r="R18" i="302"/>
  <c r="Q18" i="302"/>
  <c r="J18" i="302"/>
  <c r="K18" i="302"/>
  <c r="G18" i="302"/>
  <c r="AB9" i="302"/>
  <c r="AA9" i="302"/>
  <c r="Z9" i="302"/>
  <c r="Y9" i="302"/>
  <c r="X9" i="302"/>
  <c r="W9" i="302"/>
  <c r="V9" i="302"/>
  <c r="U9" i="302"/>
  <c r="T9" i="302"/>
  <c r="S9" i="302"/>
  <c r="R9" i="302"/>
  <c r="C30" i="300" l="1"/>
  <c r="C20" i="300"/>
  <c r="D20" i="300"/>
  <c r="E20" i="300"/>
  <c r="F20" i="300"/>
  <c r="G20" i="300"/>
  <c r="H20" i="300"/>
  <c r="J20" i="300"/>
  <c r="K20" i="300"/>
  <c r="L20" i="300"/>
  <c r="M20" i="300"/>
  <c r="N20" i="300"/>
  <c r="O20" i="300"/>
  <c r="P20" i="300"/>
  <c r="Q20" i="300"/>
  <c r="R20" i="300"/>
  <c r="S20" i="300"/>
  <c r="T20" i="300"/>
  <c r="U20" i="300"/>
  <c r="V20" i="300"/>
  <c r="W20" i="300"/>
  <c r="X20" i="300"/>
  <c r="Y20" i="300"/>
  <c r="Z20" i="300"/>
  <c r="C21" i="300"/>
  <c r="D21" i="300"/>
  <c r="E21" i="300"/>
  <c r="F21" i="300"/>
  <c r="G21" i="300"/>
  <c r="H21" i="300"/>
  <c r="J21" i="300"/>
  <c r="K21" i="300"/>
  <c r="L21" i="300"/>
  <c r="M21" i="300"/>
  <c r="N21" i="300"/>
  <c r="O21" i="300"/>
  <c r="P21" i="300"/>
  <c r="Q21" i="300"/>
  <c r="R21" i="300"/>
  <c r="S21" i="300"/>
  <c r="T21" i="300"/>
  <c r="U21" i="300"/>
  <c r="V21" i="300"/>
  <c r="W21" i="300"/>
  <c r="X21" i="300"/>
  <c r="Y21" i="300"/>
  <c r="Z21" i="300"/>
  <c r="C22" i="300"/>
  <c r="D22" i="300"/>
  <c r="E22" i="300"/>
  <c r="F22" i="300"/>
  <c r="G22" i="300"/>
  <c r="H22" i="300"/>
  <c r="J22" i="300"/>
  <c r="K22" i="300"/>
  <c r="L22" i="300"/>
  <c r="M22" i="300"/>
  <c r="N22" i="300"/>
  <c r="O22" i="300"/>
  <c r="P22" i="300"/>
  <c r="Q22" i="300"/>
  <c r="R22" i="300"/>
  <c r="S22" i="300"/>
  <c r="T22" i="300"/>
  <c r="U22" i="300"/>
  <c r="V22" i="300"/>
  <c r="W22" i="300"/>
  <c r="X22" i="300"/>
  <c r="Y22" i="300"/>
  <c r="Z22" i="300"/>
  <c r="C23" i="300"/>
  <c r="D23" i="300"/>
  <c r="E23" i="300"/>
  <c r="F23" i="300"/>
  <c r="G23" i="300"/>
  <c r="H23" i="300"/>
  <c r="I23" i="300"/>
  <c r="J23" i="300"/>
  <c r="K23" i="300"/>
  <c r="L23" i="300"/>
  <c r="M23" i="300"/>
  <c r="N23" i="300"/>
  <c r="O23" i="300"/>
  <c r="P23" i="300"/>
  <c r="Q23" i="300"/>
  <c r="R23" i="300"/>
  <c r="S23" i="300"/>
  <c r="T23" i="300"/>
  <c r="U23" i="300"/>
  <c r="V23" i="300"/>
  <c r="W23" i="300"/>
  <c r="X23" i="300"/>
  <c r="Y23" i="300"/>
  <c r="Z23" i="300"/>
  <c r="C24" i="300"/>
  <c r="D24" i="300"/>
  <c r="E24" i="300"/>
  <c r="F24" i="300"/>
  <c r="G24" i="300"/>
  <c r="H24" i="300"/>
  <c r="I24" i="300"/>
  <c r="J24" i="300"/>
  <c r="K24" i="300"/>
  <c r="L24" i="300"/>
  <c r="M24" i="300"/>
  <c r="N24" i="300"/>
  <c r="O24" i="300"/>
  <c r="P24" i="300"/>
  <c r="Q24" i="300"/>
  <c r="R24" i="300"/>
  <c r="S24" i="300"/>
  <c r="T24" i="300"/>
  <c r="U24" i="300"/>
  <c r="V24" i="300"/>
  <c r="W24" i="300"/>
  <c r="X24" i="300"/>
  <c r="Y24" i="300"/>
  <c r="Z24" i="300"/>
  <c r="C25" i="300"/>
  <c r="D25" i="300"/>
  <c r="E25" i="300"/>
  <c r="F25" i="300"/>
  <c r="G25" i="300"/>
  <c r="H25" i="300"/>
  <c r="I25" i="300"/>
  <c r="J25" i="300"/>
  <c r="K25" i="300"/>
  <c r="L25" i="300"/>
  <c r="M25" i="300"/>
  <c r="N25" i="300"/>
  <c r="O25" i="300"/>
  <c r="P25" i="300"/>
  <c r="Q25" i="300"/>
  <c r="R25" i="300"/>
  <c r="S25" i="300"/>
  <c r="T25" i="300"/>
  <c r="U25" i="300"/>
  <c r="V25" i="300"/>
  <c r="W25" i="300"/>
  <c r="X25" i="300"/>
  <c r="Y25" i="300"/>
  <c r="Z25" i="300"/>
  <c r="C26" i="300"/>
  <c r="D26" i="300"/>
  <c r="E26" i="300"/>
  <c r="F26" i="300"/>
  <c r="G26" i="300"/>
  <c r="H26" i="300"/>
  <c r="I26" i="300"/>
  <c r="J26" i="300"/>
  <c r="K26" i="300"/>
  <c r="L26" i="300"/>
  <c r="M26" i="300"/>
  <c r="N26" i="300"/>
  <c r="O26" i="300"/>
  <c r="P26" i="300"/>
  <c r="Q26" i="300"/>
  <c r="R26" i="300"/>
  <c r="S26" i="300"/>
  <c r="T26" i="300"/>
  <c r="U26" i="300"/>
  <c r="V26" i="300"/>
  <c r="W26" i="300"/>
  <c r="X26" i="300"/>
  <c r="Y26" i="300"/>
  <c r="Z26" i="300"/>
  <c r="C27" i="300"/>
  <c r="D27" i="300"/>
  <c r="E27" i="300"/>
  <c r="F27" i="300"/>
  <c r="G27" i="300"/>
  <c r="H27" i="300"/>
  <c r="I27" i="300"/>
  <c r="J27" i="300"/>
  <c r="K27" i="300"/>
  <c r="L27" i="300"/>
  <c r="M27" i="300"/>
  <c r="N27" i="300"/>
  <c r="O27" i="300"/>
  <c r="P27" i="300"/>
  <c r="Q27" i="300"/>
  <c r="R27" i="300"/>
  <c r="S27" i="300"/>
  <c r="T27" i="300"/>
  <c r="U27" i="300"/>
  <c r="V27" i="300"/>
  <c r="W27" i="300"/>
  <c r="X27" i="300"/>
  <c r="Y27" i="300"/>
  <c r="Z27" i="300"/>
  <c r="C28" i="300"/>
  <c r="D28" i="300"/>
  <c r="E28" i="300"/>
  <c r="F28" i="300"/>
  <c r="G28" i="300"/>
  <c r="H28" i="300"/>
  <c r="I28" i="300"/>
  <c r="J28" i="300"/>
  <c r="K28" i="300"/>
  <c r="L28" i="300"/>
  <c r="M28" i="300"/>
  <c r="N28" i="300"/>
  <c r="O28" i="300"/>
  <c r="P28" i="300"/>
  <c r="Q28" i="300"/>
  <c r="R28" i="300"/>
  <c r="S28" i="300"/>
  <c r="T28" i="300"/>
  <c r="U28" i="300"/>
  <c r="V28" i="300"/>
  <c r="W28" i="300"/>
  <c r="X28" i="300"/>
  <c r="Y28" i="300"/>
  <c r="Z28" i="300"/>
  <c r="C29" i="300"/>
  <c r="D29" i="300"/>
  <c r="E29" i="300"/>
  <c r="F29" i="300"/>
  <c r="G29" i="300"/>
  <c r="H29" i="300"/>
  <c r="I29" i="300"/>
  <c r="J29" i="300"/>
  <c r="K29" i="300"/>
  <c r="L29" i="300"/>
  <c r="M29" i="300"/>
  <c r="N29" i="300"/>
  <c r="O29" i="300"/>
  <c r="P29" i="300"/>
  <c r="Q29" i="300"/>
  <c r="R29" i="300"/>
  <c r="S29" i="300"/>
  <c r="T29" i="300"/>
  <c r="U29" i="300"/>
  <c r="V29" i="300"/>
  <c r="W29" i="300"/>
  <c r="X29" i="300"/>
  <c r="Y29" i="300"/>
  <c r="Z29" i="300"/>
  <c r="D30" i="300"/>
  <c r="E30" i="300"/>
  <c r="F30" i="300"/>
  <c r="G30" i="300"/>
  <c r="H30" i="300"/>
  <c r="I30" i="300"/>
  <c r="J30" i="300"/>
  <c r="K30" i="300"/>
  <c r="L30" i="300"/>
  <c r="M30" i="300"/>
  <c r="N30" i="300"/>
  <c r="O30" i="300"/>
  <c r="P30" i="300"/>
  <c r="Q30" i="300"/>
  <c r="R30" i="300"/>
  <c r="S30" i="300"/>
  <c r="T30" i="300"/>
  <c r="U30" i="300"/>
  <c r="V30" i="300"/>
  <c r="W30" i="300"/>
  <c r="X30" i="300"/>
  <c r="Y30" i="300"/>
  <c r="Z30" i="300"/>
  <c r="O19" i="300"/>
  <c r="P19" i="300"/>
  <c r="Q19" i="300"/>
  <c r="R19" i="300"/>
  <c r="S19" i="300"/>
  <c r="T19" i="300"/>
  <c r="U19" i="300"/>
  <c r="V19" i="300"/>
  <c r="W19" i="300"/>
  <c r="X19" i="300"/>
  <c r="Y19" i="300"/>
  <c r="Z19" i="300"/>
  <c r="L18" i="300"/>
  <c r="G18" i="300"/>
  <c r="C18" i="300"/>
  <c r="D18" i="300"/>
  <c r="E18" i="300"/>
  <c r="F18" i="300"/>
  <c r="H18" i="300"/>
  <c r="J18" i="300"/>
  <c r="K18" i="300"/>
  <c r="M18" i="300"/>
  <c r="N18" i="300"/>
  <c r="O18" i="300"/>
  <c r="P18" i="300"/>
  <c r="Q18" i="300"/>
  <c r="R18" i="300"/>
  <c r="S18" i="300"/>
  <c r="T18" i="300"/>
  <c r="U18" i="300"/>
  <c r="V18" i="300"/>
  <c r="W18" i="300"/>
  <c r="X18" i="300"/>
  <c r="Y18" i="300"/>
  <c r="Z18" i="300"/>
  <c r="K122" i="300"/>
  <c r="B116" i="300"/>
  <c r="R117" i="300" s="1"/>
  <c r="R118" i="300" s="1"/>
  <c r="B114" i="300"/>
  <c r="A110" i="300"/>
  <c r="B106" i="300"/>
  <c r="K107" i="300" s="1"/>
  <c r="K108" i="300" s="1"/>
  <c r="AP8" i="300"/>
  <c r="AM16" i="300"/>
  <c r="AN16" i="300" s="1"/>
  <c r="AN15" i="300"/>
  <c r="AN14" i="300"/>
  <c r="AN13" i="300"/>
  <c r="AN12" i="300"/>
  <c r="AN11" i="300"/>
  <c r="AN10" i="300"/>
  <c r="AN9" i="300"/>
  <c r="AN8" i="300"/>
  <c r="AN7" i="300"/>
  <c r="AN6" i="300"/>
  <c r="AN5" i="300"/>
  <c r="AN4" i="300"/>
  <c r="AI16" i="300"/>
  <c r="AJ16" i="300" s="1"/>
  <c r="AJ15" i="300"/>
  <c r="AJ14" i="300"/>
  <c r="AJ13" i="300"/>
  <c r="AJ12" i="300"/>
  <c r="AJ11" i="300"/>
  <c r="AJ10" i="300"/>
  <c r="AJ9" i="300"/>
  <c r="AL8" i="300"/>
  <c r="AJ8" i="300"/>
  <c r="AJ7" i="300"/>
  <c r="AJ6" i="300"/>
  <c r="AJ5" i="300"/>
  <c r="AJ4" i="300"/>
  <c r="AE16" i="300"/>
  <c r="AF16" i="300" s="1"/>
  <c r="AF15" i="300"/>
  <c r="AF14" i="300"/>
  <c r="AF13" i="300"/>
  <c r="AF12" i="300"/>
  <c r="AF11" i="300"/>
  <c r="AF10" i="300"/>
  <c r="AF9" i="300"/>
  <c r="AH8" i="300"/>
  <c r="AF8" i="300"/>
  <c r="AF7" i="300"/>
  <c r="AF6" i="300"/>
  <c r="AF5" i="300"/>
  <c r="AF4" i="300"/>
  <c r="AD8" i="300"/>
  <c r="AA16" i="300"/>
  <c r="AB16" i="300" s="1"/>
  <c r="J2" i="2"/>
  <c r="AB6" i="300"/>
  <c r="AB7" i="300"/>
  <c r="AB8" i="300"/>
  <c r="AB9" i="300"/>
  <c r="AB10" i="300"/>
  <c r="AB11" i="300"/>
  <c r="AB12" i="300"/>
  <c r="AB13" i="300"/>
  <c r="AB14" i="300"/>
  <c r="AB15" i="300"/>
  <c r="AB5" i="300"/>
  <c r="AB4" i="300"/>
  <c r="C2" i="113"/>
  <c r="D2" i="113"/>
  <c r="E2" i="113"/>
  <c r="F2" i="113"/>
  <c r="G2" i="113"/>
  <c r="H2" i="113"/>
  <c r="I2" i="113"/>
  <c r="J2" i="113"/>
  <c r="K2" i="113"/>
  <c r="L2" i="113"/>
  <c r="M2" i="113"/>
  <c r="N2" i="113"/>
  <c r="O2" i="113"/>
  <c r="P2" i="113"/>
  <c r="Q2" i="113"/>
  <c r="R2" i="113"/>
  <c r="S2" i="113"/>
  <c r="T2" i="113"/>
  <c r="U2" i="113"/>
  <c r="V2" i="113"/>
  <c r="W2" i="113"/>
  <c r="X2" i="113"/>
  <c r="Y2" i="113"/>
  <c r="D2" i="112"/>
  <c r="D7" i="112" s="1"/>
  <c r="E2" i="112"/>
  <c r="F2" i="112"/>
  <c r="G2" i="112"/>
  <c r="H2" i="112"/>
  <c r="I2" i="112"/>
  <c r="J2" i="112"/>
  <c r="K2" i="112"/>
  <c r="L2" i="112"/>
  <c r="L7" i="112" s="1"/>
  <c r="L18" i="112" s="1"/>
  <c r="M2" i="112"/>
  <c r="N2" i="112"/>
  <c r="O2" i="112"/>
  <c r="P2" i="112"/>
  <c r="Q2" i="112"/>
  <c r="R2" i="112"/>
  <c r="S2" i="112"/>
  <c r="T2" i="112"/>
  <c r="U2" i="112"/>
  <c r="V2" i="112"/>
  <c r="W2" i="112"/>
  <c r="X2" i="112"/>
  <c r="Y2" i="112"/>
  <c r="Z2" i="112"/>
  <c r="D2" i="295"/>
  <c r="E2" i="295"/>
  <c r="F2" i="295"/>
  <c r="G2" i="295"/>
  <c r="H2" i="295"/>
  <c r="I2" i="295"/>
  <c r="J2" i="295"/>
  <c r="K2" i="295"/>
  <c r="L2" i="295"/>
  <c r="M2" i="295"/>
  <c r="M7" i="295" s="1"/>
  <c r="N2" i="295"/>
  <c r="O2" i="295"/>
  <c r="P2" i="295"/>
  <c r="Q2" i="295"/>
  <c r="R2" i="295"/>
  <c r="S2" i="295"/>
  <c r="T2" i="295"/>
  <c r="U2" i="295"/>
  <c r="V2" i="295"/>
  <c r="W2" i="295"/>
  <c r="X2" i="295"/>
  <c r="Y2" i="295"/>
  <c r="Z2" i="295"/>
  <c r="C2" i="109"/>
  <c r="D2" i="109"/>
  <c r="E2" i="109"/>
  <c r="F2" i="109"/>
  <c r="G2" i="109"/>
  <c r="H2" i="109"/>
  <c r="I2" i="109"/>
  <c r="J2" i="109"/>
  <c r="K2" i="109"/>
  <c r="L2" i="109"/>
  <c r="M2" i="109"/>
  <c r="N2" i="109"/>
  <c r="O2" i="109"/>
  <c r="P2" i="109"/>
  <c r="Q2" i="109"/>
  <c r="R2" i="109"/>
  <c r="S2" i="109"/>
  <c r="T2" i="109"/>
  <c r="U2" i="109"/>
  <c r="V2" i="109"/>
  <c r="W2" i="109"/>
  <c r="X2" i="109"/>
  <c r="Y2" i="109"/>
  <c r="D2" i="108"/>
  <c r="D7" i="108" s="1"/>
  <c r="E2" i="108"/>
  <c r="F2" i="108"/>
  <c r="G2" i="108"/>
  <c r="H2" i="108"/>
  <c r="I2" i="108"/>
  <c r="J2" i="108"/>
  <c r="K2" i="108"/>
  <c r="L2" i="108"/>
  <c r="L7" i="108" s="1"/>
  <c r="L18" i="108" s="1"/>
  <c r="M2" i="108"/>
  <c r="N2" i="108"/>
  <c r="O2" i="108"/>
  <c r="P2" i="108"/>
  <c r="Q2" i="108"/>
  <c r="R2" i="108"/>
  <c r="S2" i="108"/>
  <c r="T2" i="108"/>
  <c r="U2" i="108"/>
  <c r="V2" i="108"/>
  <c r="W2" i="108"/>
  <c r="X2" i="108"/>
  <c r="Y2" i="108"/>
  <c r="Z2" i="108"/>
  <c r="D2" i="294"/>
  <c r="E2" i="294"/>
  <c r="F2" i="294"/>
  <c r="G2" i="294"/>
  <c r="H2" i="294"/>
  <c r="I2" i="294"/>
  <c r="J2" i="294"/>
  <c r="K2" i="294"/>
  <c r="L2" i="294"/>
  <c r="M2" i="294"/>
  <c r="M7" i="294" s="1"/>
  <c r="N2" i="294"/>
  <c r="O2" i="294"/>
  <c r="P2" i="294"/>
  <c r="Q2" i="294"/>
  <c r="R2" i="294"/>
  <c r="S2" i="294"/>
  <c r="T2" i="294"/>
  <c r="U2" i="294"/>
  <c r="V2" i="294"/>
  <c r="W2" i="294"/>
  <c r="X2" i="294"/>
  <c r="Y2" i="294"/>
  <c r="Z2" i="294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D2" i="105"/>
  <c r="D7" i="105" s="1"/>
  <c r="E2" i="105"/>
  <c r="F2" i="105"/>
  <c r="G2" i="105"/>
  <c r="H2" i="105"/>
  <c r="I2" i="105"/>
  <c r="J2" i="105"/>
  <c r="K2" i="105"/>
  <c r="L2" i="105"/>
  <c r="L7" i="105" s="1"/>
  <c r="L18" i="105" s="1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Z2" i="105"/>
  <c r="D2" i="293"/>
  <c r="E2" i="293"/>
  <c r="F2" i="293"/>
  <c r="G2" i="293"/>
  <c r="H2" i="293"/>
  <c r="I2" i="293"/>
  <c r="J2" i="293"/>
  <c r="K2" i="293"/>
  <c r="L2" i="293"/>
  <c r="M2" i="293"/>
  <c r="M7" i="293" s="1"/>
  <c r="N2" i="293"/>
  <c r="O2" i="293"/>
  <c r="P2" i="293"/>
  <c r="Q2" i="293"/>
  <c r="R2" i="293"/>
  <c r="S2" i="293"/>
  <c r="T2" i="293"/>
  <c r="U2" i="293"/>
  <c r="V2" i="293"/>
  <c r="W2" i="293"/>
  <c r="X2" i="293"/>
  <c r="Y2" i="293"/>
  <c r="Z2" i="293"/>
  <c r="C2" i="100"/>
  <c r="D2" i="100"/>
  <c r="E2" i="100"/>
  <c r="F2" i="100"/>
  <c r="G2" i="100"/>
  <c r="H2" i="100"/>
  <c r="I2" i="100"/>
  <c r="J2" i="100"/>
  <c r="K2" i="100"/>
  <c r="L2" i="100"/>
  <c r="M2" i="100"/>
  <c r="N2" i="100"/>
  <c r="O2" i="100"/>
  <c r="P2" i="100"/>
  <c r="Q2" i="100"/>
  <c r="R2" i="100"/>
  <c r="S2" i="100"/>
  <c r="T2" i="100"/>
  <c r="U2" i="100"/>
  <c r="V2" i="100"/>
  <c r="W2" i="100"/>
  <c r="X2" i="100"/>
  <c r="Y2" i="100"/>
  <c r="D2" i="101"/>
  <c r="D7" i="101" s="1"/>
  <c r="E2" i="101"/>
  <c r="F2" i="101"/>
  <c r="G2" i="101"/>
  <c r="H2" i="101"/>
  <c r="I2" i="101"/>
  <c r="J2" i="101"/>
  <c r="K2" i="101"/>
  <c r="L2" i="101"/>
  <c r="L7" i="101" s="1"/>
  <c r="L18" i="101" s="1"/>
  <c r="M2" i="101"/>
  <c r="N2" i="101"/>
  <c r="O2" i="101"/>
  <c r="P2" i="101"/>
  <c r="Q2" i="101"/>
  <c r="R2" i="101"/>
  <c r="S2" i="101"/>
  <c r="T2" i="101"/>
  <c r="U2" i="101"/>
  <c r="V2" i="101"/>
  <c r="W2" i="101"/>
  <c r="X2" i="101"/>
  <c r="Y2" i="101"/>
  <c r="Z2" i="101"/>
  <c r="D2" i="291"/>
  <c r="E2" i="291"/>
  <c r="F2" i="291"/>
  <c r="G2" i="291"/>
  <c r="H2" i="291"/>
  <c r="I2" i="291"/>
  <c r="J2" i="291"/>
  <c r="K2" i="291"/>
  <c r="L2" i="291"/>
  <c r="M2" i="291"/>
  <c r="M7" i="291" s="1"/>
  <c r="N2" i="291"/>
  <c r="O2" i="291"/>
  <c r="P2" i="291"/>
  <c r="Q2" i="291"/>
  <c r="R2" i="291"/>
  <c r="S2" i="291"/>
  <c r="T2" i="291"/>
  <c r="U2" i="291"/>
  <c r="V2" i="291"/>
  <c r="W2" i="291"/>
  <c r="X2" i="291"/>
  <c r="Y2" i="291"/>
  <c r="Z2" i="291"/>
  <c r="C2" i="97"/>
  <c r="D2" i="97"/>
  <c r="E2" i="97"/>
  <c r="F2" i="97"/>
  <c r="G2" i="97"/>
  <c r="H2" i="97"/>
  <c r="I2" i="97"/>
  <c r="J2" i="97"/>
  <c r="K2" i="97"/>
  <c r="L2" i="97"/>
  <c r="M2" i="97"/>
  <c r="N2" i="97"/>
  <c r="O2" i="97"/>
  <c r="P2" i="97"/>
  <c r="Q2" i="97"/>
  <c r="R2" i="97"/>
  <c r="S2" i="97"/>
  <c r="T2" i="97"/>
  <c r="U2" i="97"/>
  <c r="V2" i="97"/>
  <c r="W2" i="97"/>
  <c r="X2" i="97"/>
  <c r="Y2" i="97"/>
  <c r="D2" i="96"/>
  <c r="D7" i="96" s="1"/>
  <c r="E2" i="96"/>
  <c r="F2" i="96"/>
  <c r="G2" i="96"/>
  <c r="H2" i="96"/>
  <c r="I2" i="96"/>
  <c r="J2" i="96"/>
  <c r="K2" i="96"/>
  <c r="L2" i="96"/>
  <c r="L7" i="96" s="1"/>
  <c r="L18" i="96" s="1"/>
  <c r="M2" i="96"/>
  <c r="N2" i="96"/>
  <c r="O2" i="96"/>
  <c r="P2" i="96"/>
  <c r="Q2" i="96"/>
  <c r="R2" i="96"/>
  <c r="S2" i="96"/>
  <c r="T2" i="96"/>
  <c r="U2" i="96"/>
  <c r="V2" i="96"/>
  <c r="W2" i="96"/>
  <c r="X2" i="96"/>
  <c r="Y2" i="96"/>
  <c r="Z2" i="96"/>
  <c r="D2" i="290"/>
  <c r="C2" i="290"/>
  <c r="C7" i="290" s="1"/>
  <c r="E2" i="290"/>
  <c r="F2" i="290"/>
  <c r="G2" i="290"/>
  <c r="H2" i="290"/>
  <c r="I2" i="290"/>
  <c r="J2" i="290"/>
  <c r="K2" i="290"/>
  <c r="L2" i="290"/>
  <c r="M2" i="290"/>
  <c r="M7" i="290" s="1"/>
  <c r="N2" i="290"/>
  <c r="O2" i="290"/>
  <c r="P2" i="290"/>
  <c r="Q2" i="290"/>
  <c r="R2" i="290"/>
  <c r="S2" i="290"/>
  <c r="T2" i="290"/>
  <c r="U2" i="290"/>
  <c r="V2" i="290"/>
  <c r="W2" i="290"/>
  <c r="X2" i="290"/>
  <c r="Y2" i="290"/>
  <c r="Z2" i="290"/>
  <c r="C2" i="92"/>
  <c r="D2" i="92"/>
  <c r="E2" i="92"/>
  <c r="F2" i="92"/>
  <c r="G2" i="92"/>
  <c r="H2" i="92"/>
  <c r="I2" i="92"/>
  <c r="J2" i="92"/>
  <c r="K2" i="92"/>
  <c r="L2" i="92"/>
  <c r="M2" i="92"/>
  <c r="N2" i="92"/>
  <c r="O2" i="92"/>
  <c r="P2" i="92"/>
  <c r="Q2" i="92"/>
  <c r="R2" i="92"/>
  <c r="S2" i="92"/>
  <c r="T2" i="92"/>
  <c r="U2" i="92"/>
  <c r="V2" i="92"/>
  <c r="W2" i="92"/>
  <c r="X2" i="92"/>
  <c r="Y2" i="92"/>
  <c r="D2" i="93"/>
  <c r="D7" i="93" s="1"/>
  <c r="E2" i="93"/>
  <c r="F2" i="93"/>
  <c r="G2" i="93"/>
  <c r="H2" i="93"/>
  <c r="I2" i="93"/>
  <c r="J2" i="93"/>
  <c r="K2" i="93"/>
  <c r="L2" i="93"/>
  <c r="L7" i="93" s="1"/>
  <c r="L18" i="93" s="1"/>
  <c r="M2" i="93"/>
  <c r="N2" i="93"/>
  <c r="O2" i="93"/>
  <c r="P2" i="93"/>
  <c r="Q2" i="93"/>
  <c r="R2" i="93"/>
  <c r="S2" i="93"/>
  <c r="T2" i="93"/>
  <c r="U2" i="93"/>
  <c r="V2" i="93"/>
  <c r="W2" i="93"/>
  <c r="X2" i="93"/>
  <c r="Y2" i="93"/>
  <c r="Z2" i="93"/>
  <c r="D2" i="289"/>
  <c r="E2" i="289"/>
  <c r="F2" i="289"/>
  <c r="G2" i="289"/>
  <c r="H2" i="289"/>
  <c r="I2" i="289"/>
  <c r="J2" i="289"/>
  <c r="K2" i="289"/>
  <c r="L2" i="289"/>
  <c r="M2" i="289"/>
  <c r="M7" i="289" s="1"/>
  <c r="N2" i="289"/>
  <c r="O2" i="289"/>
  <c r="P2" i="289"/>
  <c r="Q2" i="289"/>
  <c r="R2" i="289"/>
  <c r="S2" i="289"/>
  <c r="T2" i="289"/>
  <c r="U2" i="289"/>
  <c r="V2" i="289"/>
  <c r="W2" i="289"/>
  <c r="X2" i="289"/>
  <c r="Y2" i="289"/>
  <c r="Z2" i="289"/>
  <c r="C2" i="88"/>
  <c r="D2" i="88"/>
  <c r="E2" i="88"/>
  <c r="F2" i="88"/>
  <c r="G2" i="88"/>
  <c r="H2" i="88"/>
  <c r="I2" i="88"/>
  <c r="J2" i="88"/>
  <c r="K2" i="88"/>
  <c r="L2" i="88"/>
  <c r="M2" i="88"/>
  <c r="N2" i="88"/>
  <c r="O2" i="88"/>
  <c r="P2" i="88"/>
  <c r="Q2" i="88"/>
  <c r="R2" i="88"/>
  <c r="S2" i="88"/>
  <c r="T2" i="88"/>
  <c r="U2" i="88"/>
  <c r="V2" i="88"/>
  <c r="W2" i="88"/>
  <c r="X2" i="88"/>
  <c r="Y2" i="88"/>
  <c r="D2" i="89"/>
  <c r="D7" i="89" s="1"/>
  <c r="E2" i="89"/>
  <c r="F2" i="89"/>
  <c r="G2" i="89"/>
  <c r="H2" i="89"/>
  <c r="I2" i="89"/>
  <c r="J2" i="89"/>
  <c r="K2" i="89"/>
  <c r="L2" i="89"/>
  <c r="L7" i="89" s="1"/>
  <c r="L18" i="89" s="1"/>
  <c r="M2" i="89"/>
  <c r="N2" i="89"/>
  <c r="O2" i="89"/>
  <c r="P2" i="89"/>
  <c r="Q2" i="89"/>
  <c r="R2" i="89"/>
  <c r="S2" i="89"/>
  <c r="T2" i="89"/>
  <c r="U2" i="89"/>
  <c r="V2" i="89"/>
  <c r="W2" i="89"/>
  <c r="X2" i="89"/>
  <c r="Y2" i="89"/>
  <c r="Z2" i="89"/>
  <c r="Z2" i="288"/>
  <c r="Y2" i="288"/>
  <c r="D2" i="288"/>
  <c r="E2" i="288"/>
  <c r="F2" i="288"/>
  <c r="G2" i="288"/>
  <c r="H2" i="288"/>
  <c r="I2" i="288"/>
  <c r="J2" i="288"/>
  <c r="K2" i="288"/>
  <c r="L2" i="288"/>
  <c r="M2" i="288"/>
  <c r="M7" i="288" s="1"/>
  <c r="N2" i="288"/>
  <c r="O2" i="288"/>
  <c r="P2" i="288"/>
  <c r="Q2" i="288"/>
  <c r="R2" i="288"/>
  <c r="S2" i="288"/>
  <c r="T2" i="288"/>
  <c r="U2" i="288"/>
  <c r="V2" i="288"/>
  <c r="W2" i="288"/>
  <c r="X2" i="288"/>
  <c r="C2" i="85"/>
  <c r="D2" i="85"/>
  <c r="E2" i="85"/>
  <c r="F2" i="85"/>
  <c r="G2" i="85"/>
  <c r="H2" i="85"/>
  <c r="I2" i="85"/>
  <c r="J2" i="85"/>
  <c r="K2" i="85"/>
  <c r="L2" i="85"/>
  <c r="M2" i="85"/>
  <c r="N2" i="85"/>
  <c r="O2" i="85"/>
  <c r="P2" i="85"/>
  <c r="Q2" i="85"/>
  <c r="R2" i="85"/>
  <c r="S2" i="85"/>
  <c r="T2" i="85"/>
  <c r="U2" i="85"/>
  <c r="V2" i="85"/>
  <c r="W2" i="85"/>
  <c r="X2" i="85"/>
  <c r="Y2" i="85"/>
  <c r="D2" i="83"/>
  <c r="D7" i="83" s="1"/>
  <c r="E2" i="83"/>
  <c r="F2" i="83"/>
  <c r="G2" i="83"/>
  <c r="H2" i="83"/>
  <c r="I2" i="83"/>
  <c r="J2" i="83"/>
  <c r="K2" i="83"/>
  <c r="L2" i="83"/>
  <c r="L7" i="83" s="1"/>
  <c r="L18" i="83" s="1"/>
  <c r="M2" i="83"/>
  <c r="N2" i="83"/>
  <c r="O2" i="83"/>
  <c r="P2" i="83"/>
  <c r="Q2" i="83"/>
  <c r="R2" i="83"/>
  <c r="S2" i="83"/>
  <c r="T2" i="83"/>
  <c r="U2" i="83"/>
  <c r="V2" i="83"/>
  <c r="W2" i="83"/>
  <c r="X2" i="83"/>
  <c r="Y2" i="83"/>
  <c r="Z2" i="83"/>
  <c r="D2" i="287"/>
  <c r="E2" i="287"/>
  <c r="F2" i="287"/>
  <c r="G2" i="287"/>
  <c r="H2" i="287"/>
  <c r="I2" i="287"/>
  <c r="J2" i="287"/>
  <c r="K2" i="287"/>
  <c r="L2" i="287"/>
  <c r="M2" i="287"/>
  <c r="M7" i="287" s="1"/>
  <c r="N2" i="287"/>
  <c r="O2" i="287"/>
  <c r="P2" i="287"/>
  <c r="Q2" i="287"/>
  <c r="R2" i="287"/>
  <c r="S2" i="287"/>
  <c r="T2" i="287"/>
  <c r="U2" i="287"/>
  <c r="V2" i="287"/>
  <c r="W2" i="287"/>
  <c r="X2" i="287"/>
  <c r="Y2" i="287"/>
  <c r="Z2" i="287"/>
  <c r="C2" i="287"/>
  <c r="C7" i="287" s="1"/>
  <c r="C2" i="65"/>
  <c r="D2" i="65"/>
  <c r="E2" i="65"/>
  <c r="F2" i="65"/>
  <c r="G2" i="65"/>
  <c r="H2" i="65"/>
  <c r="I2" i="65"/>
  <c r="J2" i="65"/>
  <c r="K2" i="65"/>
  <c r="L2" i="65"/>
  <c r="M2" i="65"/>
  <c r="N2" i="65"/>
  <c r="O2" i="65"/>
  <c r="P2" i="65"/>
  <c r="Q2" i="65"/>
  <c r="R2" i="65"/>
  <c r="S2" i="65"/>
  <c r="T2" i="65"/>
  <c r="U2" i="65"/>
  <c r="V2" i="65"/>
  <c r="W2" i="65"/>
  <c r="X2" i="65"/>
  <c r="Y2" i="65"/>
  <c r="B2" i="65"/>
  <c r="D2" i="61"/>
  <c r="D7" i="61" s="1"/>
  <c r="E2" i="61"/>
  <c r="F2" i="61"/>
  <c r="G2" i="61"/>
  <c r="H2" i="61"/>
  <c r="I2" i="61"/>
  <c r="J2" i="61"/>
  <c r="K2" i="61"/>
  <c r="L2" i="61"/>
  <c r="L7" i="61" s="1"/>
  <c r="L18" i="61" s="1"/>
  <c r="M2" i="61"/>
  <c r="N2" i="61"/>
  <c r="O2" i="61"/>
  <c r="P2" i="61"/>
  <c r="Q2" i="61"/>
  <c r="R2" i="61"/>
  <c r="S2" i="61"/>
  <c r="T2" i="61"/>
  <c r="U2" i="61"/>
  <c r="V2" i="61"/>
  <c r="W2" i="61"/>
  <c r="X2" i="61"/>
  <c r="Y2" i="61"/>
  <c r="Z2" i="61"/>
  <c r="D2" i="286"/>
  <c r="E2" i="286"/>
  <c r="F2" i="286"/>
  <c r="G2" i="286"/>
  <c r="H2" i="286"/>
  <c r="I2" i="286"/>
  <c r="J2" i="286"/>
  <c r="K2" i="286"/>
  <c r="L2" i="286"/>
  <c r="M2" i="286"/>
  <c r="M7" i="286" s="1"/>
  <c r="N2" i="286"/>
  <c r="O2" i="286"/>
  <c r="P2" i="286"/>
  <c r="Q2" i="286"/>
  <c r="R2" i="286"/>
  <c r="S2" i="286"/>
  <c r="T2" i="286"/>
  <c r="U2" i="286"/>
  <c r="V2" i="286"/>
  <c r="W2" i="286"/>
  <c r="X2" i="286"/>
  <c r="Y2" i="286"/>
  <c r="Z2" i="286"/>
  <c r="C2" i="286"/>
  <c r="C7" i="286" s="1"/>
  <c r="C2" i="64"/>
  <c r="D2" i="64"/>
  <c r="E2" i="64"/>
  <c r="F2" i="64"/>
  <c r="G2" i="64"/>
  <c r="H2" i="64"/>
  <c r="I2" i="64"/>
  <c r="J2" i="64"/>
  <c r="K2" i="64"/>
  <c r="L2" i="64"/>
  <c r="M2" i="64"/>
  <c r="N2" i="64"/>
  <c r="O2" i="64"/>
  <c r="P2" i="64"/>
  <c r="Q2" i="64"/>
  <c r="R2" i="64"/>
  <c r="S2" i="64"/>
  <c r="T2" i="64"/>
  <c r="U2" i="64"/>
  <c r="V2" i="64"/>
  <c r="W2" i="64"/>
  <c r="X2" i="64"/>
  <c r="Y2" i="64"/>
  <c r="B2" i="64"/>
  <c r="D2" i="282"/>
  <c r="D7" i="282" s="1"/>
  <c r="E2" i="282"/>
  <c r="F2" i="282"/>
  <c r="G2" i="282"/>
  <c r="H2" i="282"/>
  <c r="J2" i="282"/>
  <c r="K2" i="282"/>
  <c r="L2" i="282"/>
  <c r="L7" i="282" s="1"/>
  <c r="L18" i="282" s="1"/>
  <c r="M2" i="282"/>
  <c r="N2" i="282"/>
  <c r="O2" i="282"/>
  <c r="P2" i="282"/>
  <c r="Q2" i="282"/>
  <c r="R2" i="282"/>
  <c r="S2" i="282"/>
  <c r="T2" i="282"/>
  <c r="U2" i="282"/>
  <c r="V2" i="282"/>
  <c r="W2" i="282"/>
  <c r="X2" i="282"/>
  <c r="Y2" i="282"/>
  <c r="Z2" i="282"/>
  <c r="C2" i="282"/>
  <c r="D2" i="285"/>
  <c r="E2" i="285"/>
  <c r="F2" i="285"/>
  <c r="G2" i="285"/>
  <c r="J2" i="285"/>
  <c r="K2" i="285"/>
  <c r="L2" i="285"/>
  <c r="L7" i="285" s="1"/>
  <c r="M2" i="285"/>
  <c r="M7" i="285" s="1"/>
  <c r="N2" i="285"/>
  <c r="O2" i="285"/>
  <c r="P2" i="285"/>
  <c r="Q2" i="285"/>
  <c r="R2" i="285"/>
  <c r="S2" i="285"/>
  <c r="T2" i="285"/>
  <c r="U2" i="285"/>
  <c r="V2" i="285"/>
  <c r="W2" i="285"/>
  <c r="X2" i="285"/>
  <c r="Y2" i="285"/>
  <c r="Z2" i="285"/>
  <c r="C2" i="56"/>
  <c r="D2" i="56"/>
  <c r="E2" i="56"/>
  <c r="F2" i="56"/>
  <c r="G2" i="56"/>
  <c r="H2" i="56"/>
  <c r="I2" i="56"/>
  <c r="J2" i="56"/>
  <c r="K2" i="56"/>
  <c r="L2" i="56"/>
  <c r="M2" i="56"/>
  <c r="N2" i="56"/>
  <c r="O2" i="56"/>
  <c r="P2" i="56"/>
  <c r="Q2" i="56"/>
  <c r="R2" i="56"/>
  <c r="S2" i="56"/>
  <c r="T2" i="56"/>
  <c r="U2" i="56"/>
  <c r="V2" i="56"/>
  <c r="W2" i="56"/>
  <c r="X2" i="56"/>
  <c r="Y2" i="56"/>
  <c r="B2" i="56"/>
  <c r="D2" i="52"/>
  <c r="E2" i="52"/>
  <c r="F2" i="52"/>
  <c r="G2" i="52"/>
  <c r="G7" i="52" s="1"/>
  <c r="H2" i="52"/>
  <c r="I2" i="52"/>
  <c r="J2" i="52"/>
  <c r="K2" i="52"/>
  <c r="L2" i="52"/>
  <c r="L7" i="52" s="1"/>
  <c r="M2" i="52"/>
  <c r="M7" i="52" s="1"/>
  <c r="N2" i="52"/>
  <c r="O2" i="52"/>
  <c r="P2" i="52"/>
  <c r="Q2" i="52"/>
  <c r="R2" i="52"/>
  <c r="S2" i="52"/>
  <c r="T2" i="52"/>
  <c r="U2" i="52"/>
  <c r="V2" i="52"/>
  <c r="W2" i="52"/>
  <c r="X2" i="52"/>
  <c r="Y2" i="52"/>
  <c r="Z2" i="52"/>
  <c r="D2" i="278"/>
  <c r="E2" i="278"/>
  <c r="F2" i="278"/>
  <c r="G2" i="278"/>
  <c r="H2" i="278"/>
  <c r="I2" i="278"/>
  <c r="J2" i="278"/>
  <c r="K2" i="278"/>
  <c r="L2" i="278"/>
  <c r="L7" i="278" s="1"/>
  <c r="M2" i="278"/>
  <c r="M7" i="278" s="1"/>
  <c r="N2" i="278"/>
  <c r="O2" i="278"/>
  <c r="O18" i="278" s="1"/>
  <c r="P2" i="278"/>
  <c r="Q2" i="278"/>
  <c r="R2" i="278"/>
  <c r="S2" i="278"/>
  <c r="T2" i="278"/>
  <c r="U2" i="278"/>
  <c r="V2" i="278"/>
  <c r="W2" i="278"/>
  <c r="X2" i="278"/>
  <c r="Y2" i="278"/>
  <c r="Z2" i="278"/>
  <c r="C2" i="278"/>
  <c r="C7" i="278" s="1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B2" i="48"/>
  <c r="D2" i="51"/>
  <c r="E2" i="51"/>
  <c r="F2" i="51"/>
  <c r="G2" i="51"/>
  <c r="H2" i="51"/>
  <c r="I2" i="51"/>
  <c r="J2" i="51"/>
  <c r="K2" i="51"/>
  <c r="L2" i="51"/>
  <c r="L7" i="51" s="1"/>
  <c r="M2" i="51"/>
  <c r="M7" i="51" s="1"/>
  <c r="N2" i="51"/>
  <c r="O2" i="51"/>
  <c r="P2" i="51"/>
  <c r="Q2" i="51"/>
  <c r="R2" i="51"/>
  <c r="S2" i="51"/>
  <c r="T2" i="51"/>
  <c r="U2" i="51"/>
  <c r="V2" i="51"/>
  <c r="W2" i="51"/>
  <c r="X2" i="51"/>
  <c r="Y2" i="51"/>
  <c r="Z2" i="51"/>
  <c r="D2" i="276"/>
  <c r="E2" i="276"/>
  <c r="F2" i="276"/>
  <c r="G2" i="276"/>
  <c r="G18" i="276" s="1"/>
  <c r="H2" i="276"/>
  <c r="I2" i="276"/>
  <c r="J2" i="276"/>
  <c r="K2" i="276"/>
  <c r="L2" i="276"/>
  <c r="L7" i="276" s="1"/>
  <c r="M2" i="276"/>
  <c r="M7" i="276" s="1"/>
  <c r="N2" i="276"/>
  <c r="O2" i="276"/>
  <c r="O18" i="276" s="1"/>
  <c r="P2" i="276"/>
  <c r="Q2" i="276"/>
  <c r="R2" i="276"/>
  <c r="S2" i="276"/>
  <c r="T2" i="276"/>
  <c r="U2" i="276"/>
  <c r="V2" i="276"/>
  <c r="W2" i="276"/>
  <c r="X2" i="276"/>
  <c r="Y2" i="276"/>
  <c r="Z2" i="276"/>
  <c r="C2" i="276"/>
  <c r="C7" i="276" s="1"/>
  <c r="B2" i="35"/>
  <c r="D2" i="15"/>
  <c r="D18" i="15" s="1"/>
  <c r="E2" i="15"/>
  <c r="F2" i="15"/>
  <c r="H2" i="15"/>
  <c r="I2" i="15"/>
  <c r="J2" i="15"/>
  <c r="K2" i="15"/>
  <c r="L2" i="15"/>
  <c r="L18" i="15" s="1"/>
  <c r="N2" i="15"/>
  <c r="N18" i="15" s="1"/>
  <c r="O2" i="15"/>
  <c r="O18" i="15" s="1"/>
  <c r="P2" i="15"/>
  <c r="Q2" i="15"/>
  <c r="Q18" i="15" s="1"/>
  <c r="R2" i="15"/>
  <c r="S2" i="15"/>
  <c r="T2" i="15"/>
  <c r="U2" i="15"/>
  <c r="V2" i="15"/>
  <c r="W2" i="15"/>
  <c r="X2" i="15"/>
  <c r="Y2" i="15"/>
  <c r="Z2" i="15"/>
  <c r="C2" i="15"/>
  <c r="F2" i="275"/>
  <c r="D2" i="275"/>
  <c r="D18" i="275" s="1"/>
  <c r="C2" i="275"/>
  <c r="E2" i="275"/>
  <c r="G2" i="275"/>
  <c r="H2" i="275"/>
  <c r="I2" i="275"/>
  <c r="J2" i="275"/>
  <c r="K2" i="275"/>
  <c r="L2" i="275"/>
  <c r="M2" i="275"/>
  <c r="M7" i="275" s="1"/>
  <c r="N2" i="275"/>
  <c r="O2" i="275"/>
  <c r="O18" i="275" s="1"/>
  <c r="P2" i="275"/>
  <c r="Q2" i="275"/>
  <c r="Q18" i="275" s="1"/>
  <c r="R2" i="275"/>
  <c r="S2" i="275"/>
  <c r="T2" i="275"/>
  <c r="U2" i="275"/>
  <c r="V2" i="275"/>
  <c r="W2" i="275"/>
  <c r="X2" i="275"/>
  <c r="Y2" i="275"/>
  <c r="Z2" i="275"/>
  <c r="AA18" i="300" l="1"/>
  <c r="L7" i="275"/>
  <c r="L18" i="275"/>
  <c r="C7" i="15"/>
  <c r="C18" i="15"/>
  <c r="C18" i="275"/>
  <c r="C7" i="275"/>
  <c r="B2" i="275"/>
  <c r="L7" i="291"/>
  <c r="L18" i="291" s="1"/>
  <c r="AA28" i="300"/>
  <c r="AA24" i="300"/>
  <c r="L7" i="286"/>
  <c r="L18" i="286" s="1"/>
  <c r="L7" i="288"/>
  <c r="L18" i="288" s="1"/>
  <c r="L7" i="289"/>
  <c r="L18" i="289" s="1"/>
  <c r="L7" i="293"/>
  <c r="L18" i="293" s="1"/>
  <c r="L7" i="295"/>
  <c r="L18" i="295" s="1"/>
  <c r="L7" i="290"/>
  <c r="L18" i="290" s="1"/>
  <c r="L7" i="294"/>
  <c r="L18" i="294" s="1"/>
  <c r="L7" i="287"/>
  <c r="L18" i="287" s="1"/>
  <c r="A28" i="300"/>
  <c r="A24" i="300"/>
  <c r="L7" i="15"/>
  <c r="L18" i="285"/>
  <c r="L18" i="278"/>
  <c r="M18" i="276"/>
  <c r="L18" i="276"/>
  <c r="C18" i="276"/>
  <c r="L18" i="51"/>
  <c r="L18" i="52"/>
  <c r="A20" i="300"/>
  <c r="AA27" i="300"/>
  <c r="B24" i="300"/>
  <c r="AA23" i="300"/>
  <c r="AA21" i="300"/>
  <c r="AA29" i="300"/>
  <c r="AA25" i="300"/>
  <c r="B22" i="300"/>
  <c r="AA19" i="300"/>
  <c r="B18" i="300"/>
  <c r="A30" i="300"/>
  <c r="B26" i="300"/>
  <c r="A18" i="300"/>
  <c r="AA20" i="300"/>
  <c r="B25" i="300"/>
  <c r="B29" i="300"/>
  <c r="A27" i="300"/>
  <c r="A23" i="300"/>
  <c r="A21" i="300"/>
  <c r="B21" i="300"/>
  <c r="L8" i="275"/>
  <c r="AA26" i="300"/>
  <c r="AA22" i="300"/>
  <c r="AA30" i="300"/>
  <c r="A29" i="300"/>
  <c r="B27" i="300"/>
  <c r="A25" i="300"/>
  <c r="B23" i="300"/>
  <c r="B2" i="282"/>
  <c r="B19" i="300"/>
  <c r="B20" i="300"/>
  <c r="G117" i="300"/>
  <c r="G118" i="300" s="1"/>
  <c r="H117" i="300"/>
  <c r="H118" i="300" s="1"/>
  <c r="K117" i="300"/>
  <c r="K118" i="300" s="1"/>
  <c r="L117" i="300"/>
  <c r="L118" i="300" s="1"/>
  <c r="I117" i="300"/>
  <c r="I118" i="300" s="1"/>
  <c r="A120" i="300" s="1"/>
  <c r="Y117" i="300"/>
  <c r="Y118" i="300" s="1"/>
  <c r="A26" i="300"/>
  <c r="A22" i="300"/>
  <c r="B30" i="300"/>
  <c r="A19" i="300"/>
  <c r="L107" i="300"/>
  <c r="L108" i="300" s="1"/>
  <c r="F117" i="300"/>
  <c r="F118" i="300" s="1"/>
  <c r="J117" i="300"/>
  <c r="J118" i="300" s="1"/>
  <c r="Z117" i="300"/>
  <c r="Z118" i="300" s="1"/>
  <c r="B28" i="300"/>
  <c r="M107" i="300"/>
  <c r="M108" i="300" s="1"/>
  <c r="N107" i="300"/>
  <c r="N108" i="300" s="1"/>
  <c r="M117" i="300"/>
  <c r="M118" i="300" s="1"/>
  <c r="O107" i="300"/>
  <c r="O108" i="300" s="1"/>
  <c r="N117" i="300"/>
  <c r="N118" i="300" s="1"/>
  <c r="P107" i="300"/>
  <c r="P108" i="300" s="1"/>
  <c r="O117" i="300"/>
  <c r="O118" i="300" s="1"/>
  <c r="S117" i="300"/>
  <c r="S118" i="300" s="1"/>
  <c r="T117" i="300"/>
  <c r="T118" i="300" s="1"/>
  <c r="U117" i="300"/>
  <c r="U118" i="300" s="1"/>
  <c r="C117" i="300"/>
  <c r="C118" i="300" s="1"/>
  <c r="V117" i="300"/>
  <c r="V118" i="300" s="1"/>
  <c r="D117" i="300"/>
  <c r="D118" i="300" s="1"/>
  <c r="W117" i="300"/>
  <c r="W118" i="300" s="1"/>
  <c r="E117" i="300"/>
  <c r="E118" i="300" s="1"/>
  <c r="X117" i="300"/>
  <c r="X118" i="300" s="1"/>
  <c r="C107" i="300"/>
  <c r="C108" i="300" s="1"/>
  <c r="S107" i="300"/>
  <c r="S108" i="300" s="1"/>
  <c r="Q107" i="300"/>
  <c r="Q108" i="300" s="1"/>
  <c r="B107" i="300"/>
  <c r="B108" i="300" s="1"/>
  <c r="A108" i="300" s="1"/>
  <c r="D107" i="300"/>
  <c r="D108" i="300" s="1"/>
  <c r="T107" i="300"/>
  <c r="T108" i="300" s="1"/>
  <c r="R107" i="300"/>
  <c r="R108" i="300" s="1"/>
  <c r="E107" i="300"/>
  <c r="E108" i="300" s="1"/>
  <c r="U107" i="300"/>
  <c r="U108" i="300" s="1"/>
  <c r="F107" i="300"/>
  <c r="F108" i="300" s="1"/>
  <c r="V107" i="300"/>
  <c r="V108" i="300" s="1"/>
  <c r="H107" i="300"/>
  <c r="H108" i="300" s="1"/>
  <c r="X107" i="300"/>
  <c r="X108" i="300" s="1"/>
  <c r="I107" i="300"/>
  <c r="I108" i="300" s="1"/>
  <c r="Y107" i="300"/>
  <c r="Y108" i="300" s="1"/>
  <c r="P117" i="300"/>
  <c r="P118" i="300" s="1"/>
  <c r="G107" i="300"/>
  <c r="G108" i="300" s="1"/>
  <c r="J107" i="300"/>
  <c r="J108" i="300" s="1"/>
  <c r="Z107" i="300"/>
  <c r="Z108" i="300" s="1"/>
  <c r="Q117" i="300"/>
  <c r="Q118" i="300" s="1"/>
  <c r="W107" i="300"/>
  <c r="W108" i="300" s="1"/>
  <c r="B117" i="300"/>
  <c r="B118" i="300" s="1"/>
  <c r="A118" i="300" s="1"/>
  <c r="B111" i="300" l="1"/>
  <c r="B112" i="300"/>
  <c r="B121" i="300"/>
  <c r="B122" i="300"/>
  <c r="B4" i="301"/>
  <c r="B123" i="300" l="1"/>
  <c r="B113" i="300"/>
  <c r="R34" i="301"/>
  <c r="R44" i="301"/>
  <c r="R45" i="301"/>
  <c r="R46" i="301"/>
  <c r="R43" i="301"/>
  <c r="R42" i="301"/>
  <c r="R41" i="301"/>
  <c r="R40" i="301"/>
  <c r="R39" i="301"/>
  <c r="R38" i="301"/>
  <c r="R37" i="301"/>
  <c r="R36" i="301"/>
  <c r="R35" i="301"/>
  <c r="R33" i="301"/>
  <c r="R32" i="301"/>
  <c r="P63" i="301"/>
  <c r="O63" i="301"/>
  <c r="N63" i="301"/>
  <c r="M63" i="301"/>
  <c r="L63" i="301"/>
  <c r="K63" i="301"/>
  <c r="I63" i="301"/>
  <c r="E63" i="301"/>
  <c r="P62" i="301"/>
  <c r="O62" i="301"/>
  <c r="N62" i="301"/>
  <c r="M62" i="301"/>
  <c r="L62" i="301"/>
  <c r="K62" i="301"/>
  <c r="I62" i="301"/>
  <c r="P61" i="301"/>
  <c r="O61" i="301"/>
  <c r="N61" i="301"/>
  <c r="M61" i="301"/>
  <c r="L61" i="301"/>
  <c r="K61" i="301"/>
  <c r="D60" i="301"/>
  <c r="D59" i="301"/>
  <c r="B54" i="301"/>
  <c r="Z53" i="301"/>
  <c r="Z56" i="301" s="1"/>
  <c r="V53" i="301"/>
  <c r="V56" i="301" s="1"/>
  <c r="R53" i="301"/>
  <c r="R56" i="301" s="1"/>
  <c r="L53" i="301"/>
  <c r="L56" i="301" s="1"/>
  <c r="H53" i="301"/>
  <c r="H56" i="301" s="1"/>
  <c r="D53" i="301"/>
  <c r="D56" i="301" s="1"/>
  <c r="C53" i="301"/>
  <c r="C56" i="301" s="1"/>
  <c r="B52" i="301"/>
  <c r="Q53" i="301" s="1"/>
  <c r="Q56" i="301" s="1"/>
  <c r="P50" i="301"/>
  <c r="P49" i="301"/>
  <c r="O49" i="301"/>
  <c r="P48" i="301"/>
  <c r="O48" i="301"/>
  <c r="N48" i="301"/>
  <c r="P47" i="301"/>
  <c r="O47" i="301"/>
  <c r="N47" i="301"/>
  <c r="M47" i="301"/>
  <c r="P46" i="301"/>
  <c r="O46" i="301"/>
  <c r="N46" i="301"/>
  <c r="M46" i="301"/>
  <c r="L46" i="301"/>
  <c r="P45" i="301"/>
  <c r="O45" i="301"/>
  <c r="N45" i="301"/>
  <c r="M45" i="301"/>
  <c r="L45" i="301"/>
  <c r="K45" i="301"/>
  <c r="P44" i="301"/>
  <c r="O44" i="301"/>
  <c r="N44" i="301"/>
  <c r="M44" i="301"/>
  <c r="L44" i="301"/>
  <c r="K44" i="301"/>
  <c r="P43" i="301"/>
  <c r="O43" i="301"/>
  <c r="N43" i="301"/>
  <c r="M43" i="301"/>
  <c r="L43" i="301"/>
  <c r="K43" i="301"/>
  <c r="F43" i="301"/>
  <c r="D42" i="301"/>
  <c r="D43" i="301" s="1"/>
  <c r="C42" i="301"/>
  <c r="D41" i="301"/>
  <c r="C41" i="301"/>
  <c r="C43" i="301" s="1"/>
  <c r="K35" i="301"/>
  <c r="Y30" i="301"/>
  <c r="Y31" i="301" s="1"/>
  <c r="W30" i="301"/>
  <c r="W31" i="301" s="1"/>
  <c r="U30" i="301"/>
  <c r="U31" i="301" s="1"/>
  <c r="P30" i="301"/>
  <c r="P31" i="301" s="1"/>
  <c r="K30" i="301"/>
  <c r="K31" i="301" s="1"/>
  <c r="H30" i="301"/>
  <c r="H31" i="301" s="1"/>
  <c r="F30" i="301"/>
  <c r="F31" i="301" s="1"/>
  <c r="D30" i="301"/>
  <c r="D31" i="301" s="1"/>
  <c r="B29" i="301"/>
  <c r="S30" i="301" s="1"/>
  <c r="S31" i="301" s="1"/>
  <c r="B27" i="301"/>
  <c r="N20" i="301"/>
  <c r="N21" i="301" s="1"/>
  <c r="B19" i="301"/>
  <c r="M20" i="301" s="1"/>
  <c r="M21" i="301" s="1"/>
  <c r="B17" i="301"/>
  <c r="B16" i="301"/>
  <c r="B15" i="301"/>
  <c r="B14" i="301"/>
  <c r="B13" i="301"/>
  <c r="B12" i="301"/>
  <c r="B11" i="301"/>
  <c r="B10" i="301"/>
  <c r="B9" i="301"/>
  <c r="B8" i="301"/>
  <c r="B7" i="301"/>
  <c r="B6" i="301"/>
  <c r="B5" i="301"/>
  <c r="K2" i="301"/>
  <c r="C2" i="301"/>
  <c r="Z57" i="301" l="1"/>
  <c r="G30" i="301"/>
  <c r="G31" i="301" s="1"/>
  <c r="N30" i="301"/>
  <c r="N31" i="301" s="1"/>
  <c r="V30" i="301"/>
  <c r="V31" i="301" s="1"/>
  <c r="E53" i="301"/>
  <c r="E56" i="301" s="1"/>
  <c r="I53" i="301"/>
  <c r="I56" i="301" s="1"/>
  <c r="M53" i="301"/>
  <c r="M56" i="301" s="1"/>
  <c r="S53" i="301"/>
  <c r="S56" i="301" s="1"/>
  <c r="W53" i="301"/>
  <c r="W56" i="301" s="1"/>
  <c r="B53" i="301"/>
  <c r="F53" i="301"/>
  <c r="F56" i="301" s="1"/>
  <c r="J53" i="301"/>
  <c r="J56" i="301" s="1"/>
  <c r="N53" i="301"/>
  <c r="N56" i="301" s="1"/>
  <c r="T53" i="301"/>
  <c r="T56" i="301" s="1"/>
  <c r="X53" i="301"/>
  <c r="X56" i="301" s="1"/>
  <c r="D61" i="301"/>
  <c r="O20" i="301"/>
  <c r="O21" i="301" s="1"/>
  <c r="E30" i="301"/>
  <c r="E31" i="301" s="1"/>
  <c r="I30" i="301"/>
  <c r="I31" i="301" s="1"/>
  <c r="I33" i="301" s="1"/>
  <c r="T30" i="301"/>
  <c r="T31" i="301" s="1"/>
  <c r="X30" i="301"/>
  <c r="X31" i="301" s="1"/>
  <c r="G53" i="301"/>
  <c r="G56" i="301" s="1"/>
  <c r="K53" i="301"/>
  <c r="K56" i="301" s="1"/>
  <c r="O53" i="301"/>
  <c r="O56" i="301" s="1"/>
  <c r="U53" i="301"/>
  <c r="U56" i="301" s="1"/>
  <c r="Y53" i="301"/>
  <c r="Y56" i="301" s="1"/>
  <c r="A33" i="301"/>
  <c r="P20" i="301"/>
  <c r="P21" i="301" s="1"/>
  <c r="D20" i="301"/>
  <c r="D21" i="301" s="1"/>
  <c r="T20" i="301"/>
  <c r="T21" i="301" s="1"/>
  <c r="J30" i="301"/>
  <c r="J31" i="301" s="1"/>
  <c r="Z30" i="301"/>
  <c r="Z31" i="301" s="1"/>
  <c r="B20" i="301"/>
  <c r="R20" i="301"/>
  <c r="R21" i="301" s="1"/>
  <c r="C20" i="301"/>
  <c r="C21" i="301" s="1"/>
  <c r="F20" i="301"/>
  <c r="F21" i="301" s="1"/>
  <c r="V20" i="301"/>
  <c r="V21" i="301" s="1"/>
  <c r="L30" i="301"/>
  <c r="L31" i="301" s="1"/>
  <c r="S20" i="301"/>
  <c r="S21" i="301" s="1"/>
  <c r="E20" i="301"/>
  <c r="E21" i="301" s="1"/>
  <c r="U20" i="301"/>
  <c r="U21" i="301" s="1"/>
  <c r="G20" i="301"/>
  <c r="G21" i="301" s="1"/>
  <c r="W20" i="301"/>
  <c r="W21" i="301" s="1"/>
  <c r="M30" i="301"/>
  <c r="M31" i="301" s="1"/>
  <c r="X20" i="301"/>
  <c r="X21" i="301" s="1"/>
  <c r="I20" i="301"/>
  <c r="I21" i="301" s="1"/>
  <c r="I23" i="301" s="1"/>
  <c r="A23" i="301" s="1"/>
  <c r="Y20" i="301"/>
  <c r="Y21" i="301" s="1"/>
  <c r="O30" i="301"/>
  <c r="O31" i="301" s="1"/>
  <c r="B34" i="301" s="1"/>
  <c r="B36" i="301" s="1"/>
  <c r="Q20" i="301"/>
  <c r="Q21" i="301" s="1"/>
  <c r="J20" i="301"/>
  <c r="J21" i="301" s="1"/>
  <c r="Z20" i="301"/>
  <c r="Z21" i="301" s="1"/>
  <c r="K20" i="301"/>
  <c r="K21" i="301" s="1"/>
  <c r="Q30" i="301"/>
  <c r="Q31" i="301" s="1"/>
  <c r="L20" i="301"/>
  <c r="L21" i="301" s="1"/>
  <c r="B30" i="301"/>
  <c r="B31" i="301" s="1"/>
  <c r="A31" i="301" s="1"/>
  <c r="R30" i="301"/>
  <c r="R31" i="301" s="1"/>
  <c r="P53" i="301"/>
  <c r="P56" i="301" s="1"/>
  <c r="B56" i="301" s="1"/>
  <c r="H20" i="301"/>
  <c r="H21" i="301" s="1"/>
  <c r="C30" i="301"/>
  <c r="C31" i="301" s="1"/>
  <c r="B35" i="301" s="1"/>
  <c r="A21" i="301" l="1"/>
  <c r="B21" i="301"/>
  <c r="B24" i="301"/>
  <c r="B25" i="301"/>
  <c r="O57" i="301"/>
  <c r="N57" i="301"/>
  <c r="L57" i="301"/>
  <c r="L58" i="301" s="1"/>
  <c r="U58" i="301"/>
  <c r="M57" i="301"/>
  <c r="M58" i="301" s="1"/>
  <c r="S58" i="301"/>
  <c r="K57" i="301"/>
  <c r="K58" i="301" s="1"/>
  <c r="Q57" i="301"/>
  <c r="Q58" i="301" s="1"/>
  <c r="J57" i="301"/>
  <c r="Y57" i="301"/>
  <c r="Y58" i="301" s="1"/>
  <c r="I57" i="301"/>
  <c r="I58" i="301" s="1"/>
  <c r="G57" i="301"/>
  <c r="G58" i="301" s="1"/>
  <c r="X57" i="301"/>
  <c r="H57" i="301"/>
  <c r="O58" i="301"/>
  <c r="W57" i="301"/>
  <c r="W58" i="301" s="1"/>
  <c r="N58" i="301"/>
  <c r="V57" i="301"/>
  <c r="V58" i="301" s="1"/>
  <c r="F57" i="301"/>
  <c r="F58" i="301" s="1"/>
  <c r="U57" i="301"/>
  <c r="E57" i="301"/>
  <c r="E58" i="301" s="1"/>
  <c r="T57" i="301"/>
  <c r="T58" i="301" s="1"/>
  <c r="D57" i="301"/>
  <c r="D58" i="301" s="1"/>
  <c r="S57" i="301"/>
  <c r="C57" i="301"/>
  <c r="C58" i="301" s="1"/>
  <c r="Z58" i="301"/>
  <c r="J58" i="301"/>
  <c r="R57" i="301"/>
  <c r="R58" i="301" s="1"/>
  <c r="X58" i="301"/>
  <c r="H58" i="301"/>
  <c r="P57" i="301"/>
  <c r="P58" i="301" s="1"/>
  <c r="B2" i="113"/>
  <c r="C2" i="112"/>
  <c r="C2" i="295"/>
  <c r="C7" i="295" s="1"/>
  <c r="B2" i="109"/>
  <c r="C2" i="108"/>
  <c r="C2" i="294"/>
  <c r="C7" i="294" s="1"/>
  <c r="B2" i="104"/>
  <c r="C2" i="105"/>
  <c r="C2" i="293"/>
  <c r="C7" i="293" s="1"/>
  <c r="B2" i="100"/>
  <c r="C2" i="101"/>
  <c r="C2" i="291"/>
  <c r="C7" i="291" s="1"/>
  <c r="C2" i="96"/>
  <c r="B2" i="97"/>
  <c r="B2" i="92"/>
  <c r="C2" i="93"/>
  <c r="C2" i="289"/>
  <c r="C7" i="289" s="1"/>
  <c r="B2" i="88"/>
  <c r="C2" i="89"/>
  <c r="C2" i="288"/>
  <c r="C7" i="288" s="1"/>
  <c r="B2" i="85"/>
  <c r="C2" i="83"/>
  <c r="C2" i="61"/>
  <c r="F61" i="301" l="1"/>
  <c r="C60" i="301"/>
  <c r="B26" i="301"/>
  <c r="C63" i="301"/>
  <c r="C59" i="301"/>
  <c r="C61" i="301" s="1"/>
  <c r="C2" i="285"/>
  <c r="C7" i="285" s="1"/>
  <c r="C2" i="52"/>
  <c r="C7" i="52" s="1"/>
  <c r="C2" i="51" l="1"/>
  <c r="C7" i="51" s="1"/>
  <c r="K35" i="297" l="1"/>
  <c r="B29" i="297"/>
  <c r="X30" i="297" s="1"/>
  <c r="X31" i="297" s="1"/>
  <c r="P14" i="297"/>
  <c r="N14" i="297"/>
  <c r="B30" i="297" l="1"/>
  <c r="B31" i="297" s="1"/>
  <c r="A31" i="297" s="1"/>
  <c r="R30" i="297"/>
  <c r="R31" i="297" s="1"/>
  <c r="C30" i="297"/>
  <c r="C31" i="297" s="1"/>
  <c r="T30" i="297"/>
  <c r="T31" i="297" s="1"/>
  <c r="U30" i="297"/>
  <c r="U31" i="297" s="1"/>
  <c r="F30" i="297"/>
  <c r="F31" i="297" s="1"/>
  <c r="V30" i="297"/>
  <c r="V31" i="297" s="1"/>
  <c r="G30" i="297"/>
  <c r="G31" i="297" s="1"/>
  <c r="W30" i="297"/>
  <c r="W31" i="297" s="1"/>
  <c r="I30" i="297"/>
  <c r="I31" i="297" s="1"/>
  <c r="I33" i="297" s="1"/>
  <c r="A33" i="297" s="1"/>
  <c r="Y30" i="297"/>
  <c r="Y31" i="297" s="1"/>
  <c r="J30" i="297"/>
  <c r="J31" i="297" s="1"/>
  <c r="Z30" i="297"/>
  <c r="Z31" i="297" s="1"/>
  <c r="K30" i="297"/>
  <c r="K31" i="297" s="1"/>
  <c r="L30" i="297"/>
  <c r="L31" i="297" s="1"/>
  <c r="M30" i="297"/>
  <c r="M31" i="297" s="1"/>
  <c r="N30" i="297"/>
  <c r="N31" i="297" s="1"/>
  <c r="O30" i="297"/>
  <c r="O31" i="297" s="1"/>
  <c r="P30" i="297"/>
  <c r="P31" i="297" s="1"/>
  <c r="Q30" i="297"/>
  <c r="Q31" i="297" s="1"/>
  <c r="S30" i="297"/>
  <c r="S31" i="297" s="1"/>
  <c r="D30" i="297"/>
  <c r="D31" i="297" s="1"/>
  <c r="E30" i="297"/>
  <c r="E31" i="297" s="1"/>
  <c r="H30" i="297"/>
  <c r="H31" i="297" s="1"/>
  <c r="B34" i="297" l="1"/>
  <c r="B35" i="297"/>
  <c r="B36" i="297" l="1"/>
  <c r="P63" i="297" l="1"/>
  <c r="O63" i="297"/>
  <c r="N63" i="297"/>
  <c r="M63" i="297"/>
  <c r="L63" i="297"/>
  <c r="K63" i="297"/>
  <c r="I63" i="297"/>
  <c r="E63" i="297"/>
  <c r="P62" i="297"/>
  <c r="O62" i="297"/>
  <c r="N62" i="297"/>
  <c r="M62" i="297"/>
  <c r="L62" i="297"/>
  <c r="K62" i="297"/>
  <c r="I62" i="297"/>
  <c r="P61" i="297"/>
  <c r="O61" i="297"/>
  <c r="N61" i="297"/>
  <c r="M61" i="297"/>
  <c r="L61" i="297"/>
  <c r="K61" i="297"/>
  <c r="D60" i="297"/>
  <c r="D59" i="297"/>
  <c r="D61" i="297" s="1"/>
  <c r="B54" i="297"/>
  <c r="B52" i="297"/>
  <c r="Q53" i="297" s="1"/>
  <c r="Q56" i="297" s="1"/>
  <c r="P50" i="297"/>
  <c r="P49" i="297"/>
  <c r="O49" i="297"/>
  <c r="P48" i="297"/>
  <c r="O48" i="297"/>
  <c r="N48" i="297"/>
  <c r="P47" i="297"/>
  <c r="O47" i="297"/>
  <c r="N47" i="297"/>
  <c r="M47" i="297"/>
  <c r="P46" i="297"/>
  <c r="O46" i="297"/>
  <c r="N46" i="297"/>
  <c r="M46" i="297"/>
  <c r="L46" i="297"/>
  <c r="P45" i="297"/>
  <c r="O45" i="297"/>
  <c r="N45" i="297"/>
  <c r="M45" i="297"/>
  <c r="L45" i="297"/>
  <c r="K45" i="297"/>
  <c r="P44" i="297"/>
  <c r="O44" i="297"/>
  <c r="N44" i="297"/>
  <c r="M44" i="297"/>
  <c r="L44" i="297"/>
  <c r="K44" i="297"/>
  <c r="P43" i="297"/>
  <c r="O43" i="297"/>
  <c r="N43" i="297"/>
  <c r="M43" i="297"/>
  <c r="L43" i="297"/>
  <c r="K43" i="297"/>
  <c r="D42" i="297"/>
  <c r="D41" i="297"/>
  <c r="D43" i="297" s="1"/>
  <c r="B19" i="297"/>
  <c r="U20" i="297" s="1"/>
  <c r="N6" i="297"/>
  <c r="N17" i="297"/>
  <c r="N16" i="297"/>
  <c r="N15" i="297"/>
  <c r="N13" i="297"/>
  <c r="N12" i="297"/>
  <c r="N11" i="297"/>
  <c r="N10" i="297"/>
  <c r="N9" i="297"/>
  <c r="N8" i="297"/>
  <c r="N7" i="297"/>
  <c r="L53" i="297" l="1"/>
  <c r="L56" i="297" s="1"/>
  <c r="I53" i="297"/>
  <c r="I56" i="297" s="1"/>
  <c r="M53" i="297"/>
  <c r="M56" i="297" s="1"/>
  <c r="J53" i="297"/>
  <c r="J56" i="297" s="1"/>
  <c r="N53" i="297"/>
  <c r="N56" i="297" s="1"/>
  <c r="K53" i="297"/>
  <c r="K56" i="297" s="1"/>
  <c r="Z53" i="297"/>
  <c r="Z56" i="297" s="1"/>
  <c r="U21" i="297"/>
  <c r="Z57" i="297"/>
  <c r="C53" i="297"/>
  <c r="C56" i="297" s="1"/>
  <c r="T53" i="297"/>
  <c r="T56" i="297" s="1"/>
  <c r="D53" i="297"/>
  <c r="D56" i="297" s="1"/>
  <c r="E53" i="297"/>
  <c r="E56" i="297" s="1"/>
  <c r="V53" i="297"/>
  <c r="V56" i="297" s="1"/>
  <c r="U53" i="297"/>
  <c r="U56" i="297" s="1"/>
  <c r="F53" i="297"/>
  <c r="F56" i="297" s="1"/>
  <c r="W53" i="297"/>
  <c r="W56" i="297" s="1"/>
  <c r="X53" i="297"/>
  <c r="X56" i="297" s="1"/>
  <c r="G53" i="297"/>
  <c r="G56" i="297" s="1"/>
  <c r="H53" i="297"/>
  <c r="H56" i="297" s="1"/>
  <c r="Y53" i="297"/>
  <c r="Y56" i="297" s="1"/>
  <c r="O53" i="297"/>
  <c r="O56" i="297" s="1"/>
  <c r="P53" i="297"/>
  <c r="P56" i="297" s="1"/>
  <c r="R53" i="297"/>
  <c r="R56" i="297" s="1"/>
  <c r="B53" i="297"/>
  <c r="S53" i="297"/>
  <c r="S56" i="297" s="1"/>
  <c r="V20" i="297"/>
  <c r="P20" i="297"/>
  <c r="S20" i="297"/>
  <c r="W20" i="297"/>
  <c r="B20" i="297"/>
  <c r="B21" i="297" s="1"/>
  <c r="A21" i="297" s="1"/>
  <c r="Y20" i="297"/>
  <c r="F20" i="297"/>
  <c r="Z20" i="297"/>
  <c r="G20" i="297"/>
  <c r="H20" i="297"/>
  <c r="I20" i="297"/>
  <c r="R20" i="297"/>
  <c r="X20" i="297"/>
  <c r="C20" i="297"/>
  <c r="J20" i="297"/>
  <c r="K20" i="297"/>
  <c r="L20" i="297"/>
  <c r="M20" i="297"/>
  <c r="O20" i="297"/>
  <c r="N20" i="297"/>
  <c r="Q20" i="297"/>
  <c r="D20" i="297"/>
  <c r="T20" i="297"/>
  <c r="E20" i="297"/>
  <c r="B56" i="297" l="1"/>
  <c r="Y21" i="297"/>
  <c r="R21" i="297"/>
  <c r="W21" i="297"/>
  <c r="H21" i="297"/>
  <c r="S21" i="297"/>
  <c r="P21" i="297"/>
  <c r="G21" i="297"/>
  <c r="O21" i="297"/>
  <c r="V21" i="297"/>
  <c r="M21" i="297"/>
  <c r="K21" i="297"/>
  <c r="Z21" i="297"/>
  <c r="L21" i="297"/>
  <c r="Q21" i="297"/>
  <c r="J21" i="297"/>
  <c r="I21" i="297"/>
  <c r="I23" i="297" s="1"/>
  <c r="A23" i="297" s="1"/>
  <c r="E21" i="297"/>
  <c r="D21" i="297"/>
  <c r="N21" i="297"/>
  <c r="C21" i="297"/>
  <c r="F21" i="297"/>
  <c r="T21" i="297"/>
  <c r="X21" i="297"/>
  <c r="O57" i="297"/>
  <c r="O58" i="297" s="1"/>
  <c r="N57" i="297"/>
  <c r="N58" i="297" s="1"/>
  <c r="T57" i="297"/>
  <c r="M57" i="297"/>
  <c r="M58" i="297" s="1"/>
  <c r="T58" i="297"/>
  <c r="L57" i="297"/>
  <c r="L58" i="297" s="1"/>
  <c r="Y57" i="297"/>
  <c r="Y58" i="297" s="1"/>
  <c r="D57" i="297"/>
  <c r="D58" i="297" s="1"/>
  <c r="K57" i="297"/>
  <c r="K58" i="297" s="1"/>
  <c r="I57" i="297"/>
  <c r="I58" i="297" s="1"/>
  <c r="J57" i="297"/>
  <c r="J58" i="297" s="1"/>
  <c r="V57" i="297"/>
  <c r="V58" i="297" s="1"/>
  <c r="U57" i="297"/>
  <c r="U58" i="297" s="1"/>
  <c r="E57" i="297"/>
  <c r="E58" i="297" s="1"/>
  <c r="R57" i="297"/>
  <c r="R58" i="297" s="1"/>
  <c r="X57" i="297"/>
  <c r="X58" i="297" s="1"/>
  <c r="H57" i="297"/>
  <c r="H58" i="297" s="1"/>
  <c r="W57" i="297"/>
  <c r="W58" i="297" s="1"/>
  <c r="G57" i="297"/>
  <c r="G58" i="297" s="1"/>
  <c r="C57" i="297"/>
  <c r="C58" i="297" s="1"/>
  <c r="Z58" i="297"/>
  <c r="F57" i="297"/>
  <c r="F58" i="297" s="1"/>
  <c r="S57" i="297"/>
  <c r="S58" i="297" s="1"/>
  <c r="Q57" i="297"/>
  <c r="Q58" i="297" s="1"/>
  <c r="P57" i="297"/>
  <c r="P58" i="297" s="1"/>
  <c r="B25" i="297" l="1"/>
  <c r="B24" i="297"/>
  <c r="B26" i="297" s="1"/>
  <c r="C42" i="297"/>
  <c r="F61" i="297"/>
  <c r="F43" i="297"/>
  <c r="C63" i="297"/>
  <c r="C59" i="297"/>
  <c r="C60" i="297"/>
  <c r="C41" i="297"/>
  <c r="C61" i="297" l="1"/>
  <c r="C43" i="297"/>
  <c r="Q8" i="296" l="1"/>
  <c r="Q7" i="296"/>
  <c r="D2" i="84"/>
  <c r="Q19" i="296" l="1"/>
  <c r="Q18" i="296"/>
  <c r="Q17" i="296"/>
  <c r="Q16" i="296"/>
  <c r="Q15" i="296"/>
  <c r="Q14" i="296"/>
  <c r="Q13" i="296"/>
  <c r="Q12" i="296"/>
  <c r="Q11" i="296"/>
  <c r="Q10" i="296"/>
  <c r="Q9" i="296"/>
  <c r="K8" i="275"/>
  <c r="J8" i="275"/>
  <c r="F8" i="275"/>
  <c r="E8" i="275"/>
  <c r="D8" i="275"/>
  <c r="D2" i="35" l="1"/>
  <c r="N21" i="296"/>
  <c r="M21" i="296" s="1"/>
  <c r="D34" i="296"/>
  <c r="C31" i="296"/>
  <c r="C30" i="296"/>
  <c r="C32" i="296" s="1"/>
  <c r="B35" i="296"/>
  <c r="A25" i="296"/>
  <c r="B39" i="296" l="1"/>
  <c r="O33" i="296"/>
  <c r="O34" i="296"/>
  <c r="O35" i="296"/>
  <c r="O36" i="296"/>
  <c r="O37" i="296"/>
  <c r="O38" i="296"/>
  <c r="O39" i="296"/>
  <c r="O32" i="296"/>
  <c r="N38" i="296"/>
  <c r="N37" i="296"/>
  <c r="N36" i="296"/>
  <c r="N35" i="296"/>
  <c r="N34" i="296"/>
  <c r="N33" i="296"/>
  <c r="N32" i="296"/>
  <c r="M37" i="296"/>
  <c r="M36" i="296"/>
  <c r="M35" i="296"/>
  <c r="M34" i="296"/>
  <c r="M33" i="296"/>
  <c r="M32" i="296"/>
  <c r="L33" i="296"/>
  <c r="L34" i="296"/>
  <c r="L35" i="296"/>
  <c r="L36" i="296"/>
  <c r="L32" i="296"/>
  <c r="K35" i="296"/>
  <c r="K34" i="296"/>
  <c r="K33" i="296"/>
  <c r="K32" i="296"/>
  <c r="J32" i="296"/>
  <c r="J34" i="296"/>
  <c r="J33" i="296"/>
  <c r="G45" i="296"/>
  <c r="G42" i="296"/>
  <c r="H42" i="296" s="1"/>
  <c r="H41" i="296"/>
  <c r="H40" i="296"/>
  <c r="H39" i="296"/>
  <c r="H38" i="296"/>
  <c r="H37" i="296"/>
  <c r="H36" i="296"/>
  <c r="H35" i="296"/>
  <c r="H34" i="296"/>
  <c r="H33" i="296"/>
  <c r="Y21" i="296"/>
  <c r="Y20" i="296"/>
  <c r="Y19" i="296"/>
  <c r="Y18" i="296"/>
  <c r="Y17" i="296"/>
  <c r="Y16" i="296"/>
  <c r="Y15" i="296"/>
  <c r="Y14" i="296"/>
  <c r="Y13" i="296"/>
  <c r="Y12" i="296"/>
  <c r="Y11" i="296"/>
  <c r="Y10" i="296"/>
  <c r="Y9" i="296"/>
  <c r="Y8" i="296"/>
  <c r="Y7" i="296"/>
  <c r="Y6" i="296"/>
  <c r="J16" i="85" l="1"/>
  <c r="F16" i="85"/>
  <c r="J15" i="85"/>
  <c r="J14" i="85"/>
  <c r="A23" i="287" l="1"/>
  <c r="B23" i="287"/>
  <c r="C23" i="287"/>
  <c r="D23" i="287"/>
  <c r="E23" i="287"/>
  <c r="F23" i="287"/>
  <c r="G23" i="287"/>
  <c r="H23" i="287"/>
  <c r="I23" i="287"/>
  <c r="J23" i="287"/>
  <c r="K23" i="287"/>
  <c r="L23" i="287"/>
  <c r="M23" i="287"/>
  <c r="N23" i="287"/>
  <c r="O23" i="287"/>
  <c r="P23" i="287"/>
  <c r="Q23" i="287"/>
  <c r="R23" i="287"/>
  <c r="S23" i="287"/>
  <c r="T23" i="287"/>
  <c r="U23" i="287"/>
  <c r="V23" i="287"/>
  <c r="W23" i="287"/>
  <c r="X23" i="287"/>
  <c r="Y23" i="287"/>
  <c r="Z23" i="287"/>
  <c r="AZ23" i="287"/>
  <c r="BA23" i="287"/>
  <c r="BB23" i="287"/>
  <c r="BC23" i="287"/>
  <c r="BD23" i="287"/>
  <c r="BE23" i="287"/>
  <c r="A24" i="287"/>
  <c r="AZ24" i="287"/>
  <c r="BA24" i="287"/>
  <c r="BB24" i="287"/>
  <c r="BC24" i="287"/>
  <c r="BD24" i="287"/>
  <c r="BE24" i="287"/>
  <c r="A25" i="287"/>
  <c r="AA25" i="287"/>
  <c r="AB25" i="287"/>
  <c r="AC25" i="287"/>
  <c r="AD25" i="287"/>
  <c r="AE25" i="287"/>
  <c r="AF25" i="287"/>
  <c r="AG25" i="287"/>
  <c r="AH25" i="287"/>
  <c r="AI25" i="287"/>
  <c r="AJ25" i="287"/>
  <c r="AK25" i="287"/>
  <c r="AL25" i="287"/>
  <c r="AM25" i="287"/>
  <c r="AN25" i="287"/>
  <c r="AO25" i="287"/>
  <c r="AP25" i="287"/>
  <c r="AQ25" i="287"/>
  <c r="AR25" i="287"/>
  <c r="AS25" i="287"/>
  <c r="AT25" i="287"/>
  <c r="AU25" i="287"/>
  <c r="AV25" i="287"/>
  <c r="AW25" i="287"/>
  <c r="AX25" i="287"/>
  <c r="AY25" i="287"/>
  <c r="AZ25" i="287"/>
  <c r="BA25" i="287"/>
  <c r="BB25" i="287"/>
  <c r="BC25" i="287"/>
  <c r="BD25" i="287"/>
  <c r="BE25" i="287"/>
  <c r="AA26" i="287"/>
  <c r="AB26" i="287"/>
  <c r="AC26" i="287"/>
  <c r="AD26" i="287"/>
  <c r="AE26" i="287"/>
  <c r="AF26" i="287"/>
  <c r="AG26" i="287"/>
  <c r="AH26" i="287"/>
  <c r="AI26" i="287"/>
  <c r="AJ26" i="287"/>
  <c r="AK26" i="287"/>
  <c r="AL26" i="287"/>
  <c r="AM26" i="287"/>
  <c r="AN26" i="287"/>
  <c r="AO26" i="287"/>
  <c r="AP26" i="287"/>
  <c r="AQ26" i="287"/>
  <c r="AR26" i="287"/>
  <c r="AS26" i="287"/>
  <c r="AT26" i="287"/>
  <c r="AU26" i="287"/>
  <c r="AV26" i="287"/>
  <c r="AW26" i="287"/>
  <c r="AX26" i="287"/>
  <c r="AY26" i="287"/>
  <c r="AZ26" i="287"/>
  <c r="BA26" i="287"/>
  <c r="BB26" i="287"/>
  <c r="BC26" i="287"/>
  <c r="BD26" i="287"/>
  <c r="BE26" i="287"/>
  <c r="A27" i="287"/>
  <c r="B27" i="287"/>
  <c r="AA27" i="287"/>
  <c r="AB27" i="287"/>
  <c r="AC27" i="287"/>
  <c r="AD27" i="287"/>
  <c r="AE27" i="287"/>
  <c r="AF27" i="287"/>
  <c r="AG27" i="287"/>
  <c r="AH27" i="287"/>
  <c r="AI27" i="287"/>
  <c r="AJ27" i="287"/>
  <c r="AK27" i="287"/>
  <c r="AL27" i="287"/>
  <c r="AM27" i="287"/>
  <c r="AN27" i="287"/>
  <c r="AO27" i="287"/>
  <c r="AP27" i="287"/>
  <c r="AQ27" i="287"/>
  <c r="AR27" i="287"/>
  <c r="AS27" i="287"/>
  <c r="AT27" i="287"/>
  <c r="AU27" i="287"/>
  <c r="AV27" i="287"/>
  <c r="AW27" i="287"/>
  <c r="AX27" i="287"/>
  <c r="AY27" i="287"/>
  <c r="AZ27" i="287"/>
  <c r="BA27" i="287"/>
  <c r="BB27" i="287"/>
  <c r="BC27" i="287"/>
  <c r="BD27" i="287"/>
  <c r="BE27" i="287"/>
  <c r="A28" i="287"/>
  <c r="B28" i="287"/>
  <c r="D28" i="287"/>
  <c r="F28" i="287"/>
  <c r="G28" i="287"/>
  <c r="H28" i="287"/>
  <c r="I28" i="287"/>
  <c r="K28" i="287"/>
  <c r="L28" i="287"/>
  <c r="M28" i="287"/>
  <c r="N28" i="287"/>
  <c r="O28" i="287"/>
  <c r="P28" i="287"/>
  <c r="Q28" i="287"/>
  <c r="R28" i="287"/>
  <c r="S28" i="287"/>
  <c r="T28" i="287"/>
  <c r="U28" i="287"/>
  <c r="V28" i="287"/>
  <c r="W28" i="287"/>
  <c r="X28" i="287"/>
  <c r="Y28" i="287"/>
  <c r="Z28" i="287"/>
  <c r="AA28" i="287"/>
  <c r="AB28" i="287"/>
  <c r="AC28" i="287"/>
  <c r="AD28" i="287"/>
  <c r="AE28" i="287"/>
  <c r="AF28" i="287"/>
  <c r="AG28" i="287"/>
  <c r="AH28" i="287"/>
  <c r="AI28" i="287"/>
  <c r="AJ28" i="287"/>
  <c r="AK28" i="287"/>
  <c r="AL28" i="287"/>
  <c r="AM28" i="287"/>
  <c r="AN28" i="287"/>
  <c r="AO28" i="287"/>
  <c r="AP28" i="287"/>
  <c r="AQ28" i="287"/>
  <c r="AR28" i="287"/>
  <c r="AS28" i="287"/>
  <c r="AT28" i="287"/>
  <c r="AU28" i="287"/>
  <c r="AV28" i="287"/>
  <c r="AW28" i="287"/>
  <c r="AX28" i="287"/>
  <c r="AY28" i="287"/>
  <c r="AZ28" i="287"/>
  <c r="BA28" i="287"/>
  <c r="BB28" i="287"/>
  <c r="BC28" i="287"/>
  <c r="BD28" i="287"/>
  <c r="BE28" i="287"/>
  <c r="A29" i="287"/>
  <c r="B29" i="287"/>
  <c r="D29" i="287"/>
  <c r="F29" i="287"/>
  <c r="G29" i="287"/>
  <c r="H29" i="287"/>
  <c r="J29" i="287"/>
  <c r="K29" i="287"/>
  <c r="L29" i="287"/>
  <c r="M29" i="287"/>
  <c r="N29" i="287"/>
  <c r="O29" i="287"/>
  <c r="P29" i="287"/>
  <c r="Q29" i="287"/>
  <c r="R29" i="287"/>
  <c r="S29" i="287"/>
  <c r="T29" i="287"/>
  <c r="U29" i="287"/>
  <c r="V29" i="287"/>
  <c r="W29" i="287"/>
  <c r="X29" i="287"/>
  <c r="Y29" i="287"/>
  <c r="Z29" i="287"/>
  <c r="AA29" i="287"/>
  <c r="AB29" i="287"/>
  <c r="AC29" i="287"/>
  <c r="AD29" i="287"/>
  <c r="AE29" i="287"/>
  <c r="AF29" i="287"/>
  <c r="AG29" i="287"/>
  <c r="AH29" i="287"/>
  <c r="AI29" i="287"/>
  <c r="AJ29" i="287"/>
  <c r="AK29" i="287"/>
  <c r="AL29" i="287"/>
  <c r="AM29" i="287"/>
  <c r="AN29" i="287"/>
  <c r="AO29" i="287"/>
  <c r="AP29" i="287"/>
  <c r="AQ29" i="287"/>
  <c r="AR29" i="287"/>
  <c r="AS29" i="287"/>
  <c r="AT29" i="287"/>
  <c r="AU29" i="287"/>
  <c r="AV29" i="287"/>
  <c r="AW29" i="287"/>
  <c r="AX29" i="287"/>
  <c r="AY29" i="287"/>
  <c r="AZ29" i="287"/>
  <c r="BA29" i="287"/>
  <c r="BB29" i="287"/>
  <c r="BC29" i="287"/>
  <c r="BD29" i="287"/>
  <c r="BE29" i="287"/>
  <c r="A30" i="287"/>
  <c r="B30" i="287"/>
  <c r="D30" i="287"/>
  <c r="F30" i="287"/>
  <c r="G30" i="287"/>
  <c r="H30" i="287"/>
  <c r="J30" i="287"/>
  <c r="L30" i="287"/>
  <c r="M30" i="287"/>
  <c r="N30" i="287"/>
  <c r="O30" i="287"/>
  <c r="P30" i="287"/>
  <c r="Q30" i="287"/>
  <c r="R30" i="287"/>
  <c r="S30" i="287"/>
  <c r="T30" i="287"/>
  <c r="U30" i="287"/>
  <c r="V30" i="287"/>
  <c r="W30" i="287"/>
  <c r="X30" i="287"/>
  <c r="Y30" i="287"/>
  <c r="Z30" i="287"/>
  <c r="AA30" i="287"/>
  <c r="AB30" i="287"/>
  <c r="AC30" i="287"/>
  <c r="AD30" i="287"/>
  <c r="AE30" i="287"/>
  <c r="AF30" i="287"/>
  <c r="AG30" i="287"/>
  <c r="AH30" i="287"/>
  <c r="AI30" i="287"/>
  <c r="AJ30" i="287"/>
  <c r="AK30" i="287"/>
  <c r="AL30" i="287"/>
  <c r="AM30" i="287"/>
  <c r="AN30" i="287"/>
  <c r="AO30" i="287"/>
  <c r="AP30" i="287"/>
  <c r="AQ30" i="287"/>
  <c r="AR30" i="287"/>
  <c r="AS30" i="287"/>
  <c r="AT30" i="287"/>
  <c r="AU30" i="287"/>
  <c r="AV30" i="287"/>
  <c r="AW30" i="287"/>
  <c r="AX30" i="287"/>
  <c r="AY30" i="287"/>
  <c r="AZ30" i="287"/>
  <c r="BA30" i="287"/>
  <c r="BB30" i="287"/>
  <c r="BC30" i="287"/>
  <c r="BD30" i="287"/>
  <c r="BE30" i="287"/>
  <c r="A31" i="287"/>
  <c r="B31" i="287"/>
  <c r="D31" i="287"/>
  <c r="F31" i="287"/>
  <c r="G31" i="287"/>
  <c r="H31" i="287"/>
  <c r="I31" i="287"/>
  <c r="J31" i="287"/>
  <c r="L31" i="287"/>
  <c r="M31" i="287"/>
  <c r="N31" i="287"/>
  <c r="O31" i="287"/>
  <c r="P31" i="287"/>
  <c r="Q31" i="287"/>
  <c r="R31" i="287"/>
  <c r="S31" i="287"/>
  <c r="T31" i="287"/>
  <c r="U31" i="287"/>
  <c r="V31" i="287"/>
  <c r="W31" i="287"/>
  <c r="X31" i="287"/>
  <c r="Y31" i="287"/>
  <c r="Z31" i="287"/>
  <c r="AA31" i="287"/>
  <c r="AB31" i="287"/>
  <c r="AC31" i="287"/>
  <c r="AD31" i="287"/>
  <c r="AE31" i="287"/>
  <c r="AF31" i="287"/>
  <c r="AG31" i="287"/>
  <c r="AH31" i="287"/>
  <c r="AI31" i="287"/>
  <c r="AJ31" i="287"/>
  <c r="AK31" i="287"/>
  <c r="AL31" i="287"/>
  <c r="AM31" i="287"/>
  <c r="AN31" i="287"/>
  <c r="AO31" i="287"/>
  <c r="AP31" i="287"/>
  <c r="AQ31" i="287"/>
  <c r="AR31" i="287"/>
  <c r="AS31" i="287"/>
  <c r="AT31" i="287"/>
  <c r="AU31" i="287"/>
  <c r="AV31" i="287"/>
  <c r="AW31" i="287"/>
  <c r="AX31" i="287"/>
  <c r="AY31" i="287"/>
  <c r="AZ31" i="287"/>
  <c r="BA31" i="287"/>
  <c r="BB31" i="287"/>
  <c r="BC31" i="287"/>
  <c r="BD31" i="287"/>
  <c r="BE31" i="287"/>
  <c r="A32" i="287"/>
  <c r="B32" i="287"/>
  <c r="D32" i="287"/>
  <c r="F32" i="287"/>
  <c r="H32" i="287"/>
  <c r="I32" i="287"/>
  <c r="J32" i="287"/>
  <c r="L32" i="287"/>
  <c r="M32" i="287"/>
  <c r="N32" i="287"/>
  <c r="O32" i="287"/>
  <c r="P32" i="287"/>
  <c r="Q32" i="287"/>
  <c r="R32" i="287"/>
  <c r="S32" i="287"/>
  <c r="T32" i="287"/>
  <c r="U32" i="287"/>
  <c r="V32" i="287"/>
  <c r="W32" i="287"/>
  <c r="X32" i="287"/>
  <c r="Y32" i="287"/>
  <c r="Z32" i="287"/>
  <c r="AA32" i="287"/>
  <c r="AB32" i="287"/>
  <c r="AC32" i="287"/>
  <c r="AD32" i="287"/>
  <c r="AE32" i="287"/>
  <c r="AF32" i="287"/>
  <c r="AG32" i="287"/>
  <c r="AH32" i="287"/>
  <c r="AI32" i="287"/>
  <c r="AJ32" i="287"/>
  <c r="AK32" i="287"/>
  <c r="AL32" i="287"/>
  <c r="AM32" i="287"/>
  <c r="AN32" i="287"/>
  <c r="AO32" i="287"/>
  <c r="AP32" i="287"/>
  <c r="AQ32" i="287"/>
  <c r="AR32" i="287"/>
  <c r="AS32" i="287"/>
  <c r="AT32" i="287"/>
  <c r="AU32" i="287"/>
  <c r="AV32" i="287"/>
  <c r="AW32" i="287"/>
  <c r="AX32" i="287"/>
  <c r="AY32" i="287"/>
  <c r="AZ32" i="287"/>
  <c r="BA32" i="287"/>
  <c r="BB32" i="287"/>
  <c r="BC32" i="287"/>
  <c r="BD32" i="287"/>
  <c r="BE32" i="287"/>
  <c r="A33" i="287"/>
  <c r="AA33" i="287"/>
  <c r="AB33" i="287"/>
  <c r="AC33" i="287"/>
  <c r="AD33" i="287"/>
  <c r="AE33" i="287"/>
  <c r="AF33" i="287"/>
  <c r="AG33" i="287"/>
  <c r="AH33" i="287"/>
  <c r="AI33" i="287"/>
  <c r="AJ33" i="287"/>
  <c r="AK33" i="287"/>
  <c r="AL33" i="287"/>
  <c r="AM33" i="287"/>
  <c r="AN33" i="287"/>
  <c r="AO33" i="287"/>
  <c r="AP33" i="287"/>
  <c r="AQ33" i="287"/>
  <c r="AR33" i="287"/>
  <c r="AS33" i="287"/>
  <c r="AT33" i="287"/>
  <c r="AU33" i="287"/>
  <c r="AV33" i="287"/>
  <c r="AW33" i="287"/>
  <c r="AX33" i="287"/>
  <c r="AY33" i="287"/>
  <c r="AZ33" i="287"/>
  <c r="BA33" i="287"/>
  <c r="BB33" i="287"/>
  <c r="BC33" i="287"/>
  <c r="BD33" i="287"/>
  <c r="BE33" i="287"/>
  <c r="O6" i="296" l="1"/>
  <c r="A23" i="296"/>
  <c r="A24" i="296" s="1"/>
  <c r="C24" i="296" l="1"/>
  <c r="C27" i="296" s="1"/>
  <c r="L24" i="296"/>
  <c r="L27" i="296" s="1"/>
  <c r="F24" i="296"/>
  <c r="F27" i="296" s="1"/>
  <c r="N24" i="296"/>
  <c r="N27" i="296" s="1"/>
  <c r="K24" i="296"/>
  <c r="K27" i="296" s="1"/>
  <c r="T24" i="296"/>
  <c r="T27" i="296" s="1"/>
  <c r="J24" i="296"/>
  <c r="J27" i="296" s="1"/>
  <c r="E24" i="296"/>
  <c r="E27" i="296" s="1"/>
  <c r="S24" i="296"/>
  <c r="S27" i="296" s="1"/>
  <c r="I24" i="296"/>
  <c r="I27" i="296" s="1"/>
  <c r="O24" i="296"/>
  <c r="O27" i="296" s="1"/>
  <c r="M24" i="296"/>
  <c r="M27" i="296" s="1"/>
  <c r="H24" i="296"/>
  <c r="H27" i="296" s="1"/>
  <c r="D24" i="296"/>
  <c r="D27" i="296" s="1"/>
  <c r="P24" i="296"/>
  <c r="P27" i="296" s="1"/>
  <c r="G24" i="296"/>
  <c r="G27" i="296" s="1"/>
  <c r="E2" i="63"/>
  <c r="R24" i="296"/>
  <c r="R27" i="296" s="1"/>
  <c r="B24" i="296"/>
  <c r="B27" i="296" s="1"/>
  <c r="Q24" i="296"/>
  <c r="Q27" i="296" s="1"/>
  <c r="O21" i="296" l="1"/>
  <c r="O19" i="296"/>
  <c r="O20" i="296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I8" i="15"/>
  <c r="H8" i="15"/>
  <c r="G8" i="15"/>
  <c r="F8" i="15"/>
  <c r="E8" i="15"/>
  <c r="C16" i="275"/>
  <c r="H8" i="275"/>
  <c r="I8" i="275"/>
  <c r="O8" i="275"/>
  <c r="P8" i="275"/>
  <c r="Q8" i="275"/>
  <c r="R8" i="275"/>
  <c r="S8" i="275"/>
  <c r="T8" i="275"/>
  <c r="U8" i="275"/>
  <c r="V8" i="275"/>
  <c r="W8" i="275"/>
  <c r="X8" i="275"/>
  <c r="Y8" i="275"/>
  <c r="Z8" i="275"/>
  <c r="V24" i="296"/>
  <c r="V27" i="296" s="1"/>
  <c r="D8" i="15"/>
  <c r="O16" i="296"/>
  <c r="O17" i="296"/>
  <c r="O18" i="296"/>
  <c r="O15" i="296"/>
  <c r="O14" i="296"/>
  <c r="O13" i="296"/>
  <c r="O12" i="296"/>
  <c r="O11" i="296"/>
  <c r="O10" i="296"/>
  <c r="O9" i="296"/>
  <c r="O8" i="296"/>
  <c r="O7" i="296"/>
  <c r="M14" i="296" l="1"/>
  <c r="M15" i="296" s="1"/>
  <c r="Z9" i="15"/>
  <c r="Z9" i="275"/>
  <c r="C8" i="15"/>
  <c r="U24" i="296"/>
  <c r="U27" i="296" s="1"/>
  <c r="W24" i="296"/>
  <c r="W27" i="296" s="1"/>
  <c r="X24" i="296"/>
  <c r="X27" i="296" s="1"/>
  <c r="Y24" i="296"/>
  <c r="Y27" i="296" s="1"/>
  <c r="Y28" i="296" s="1"/>
  <c r="A27" i="296" l="1"/>
  <c r="K8" i="15"/>
  <c r="B17" i="296"/>
  <c r="B16" i="296"/>
  <c r="B18" i="296" s="1"/>
  <c r="B15" i="296"/>
  <c r="B14" i="296"/>
  <c r="B13" i="296"/>
  <c r="B12" i="296"/>
  <c r="B11" i="296"/>
  <c r="B10" i="296"/>
  <c r="B9" i="296"/>
  <c r="Y4" i="296"/>
  <c r="A3" i="296"/>
  <c r="A1" i="296"/>
  <c r="Z36" i="111"/>
  <c r="Y36" i="111"/>
  <c r="X36" i="111"/>
  <c r="W36" i="111"/>
  <c r="V36" i="111"/>
  <c r="U36" i="111"/>
  <c r="T36" i="111"/>
  <c r="S36" i="111"/>
  <c r="R36" i="111"/>
  <c r="Q36" i="111"/>
  <c r="P36" i="111"/>
  <c r="O36" i="111"/>
  <c r="N36" i="111"/>
  <c r="M36" i="111"/>
  <c r="L36" i="111"/>
  <c r="K36" i="111"/>
  <c r="J36" i="111"/>
  <c r="I36" i="111"/>
  <c r="H36" i="111"/>
  <c r="G36" i="111"/>
  <c r="F36" i="111"/>
  <c r="E36" i="111"/>
  <c r="D36" i="111"/>
  <c r="C36" i="111"/>
  <c r="A36" i="111"/>
  <c r="A35" i="111"/>
  <c r="I14" i="295"/>
  <c r="H14" i="295"/>
  <c r="F14" i="295"/>
  <c r="E14" i="295"/>
  <c r="E1" i="295"/>
  <c r="Z36" i="107"/>
  <c r="Y36" i="107"/>
  <c r="X36" i="107"/>
  <c r="W36" i="107"/>
  <c r="V36" i="107"/>
  <c r="U36" i="107"/>
  <c r="T36" i="107"/>
  <c r="S36" i="107"/>
  <c r="R36" i="107"/>
  <c r="Q36" i="107"/>
  <c r="P36" i="107"/>
  <c r="O36" i="107"/>
  <c r="N36" i="107"/>
  <c r="M36" i="107"/>
  <c r="L36" i="107"/>
  <c r="K36" i="107"/>
  <c r="J36" i="107"/>
  <c r="I36" i="107"/>
  <c r="H36" i="107"/>
  <c r="G36" i="107"/>
  <c r="F36" i="107"/>
  <c r="E36" i="107"/>
  <c r="D36" i="107"/>
  <c r="C36" i="107"/>
  <c r="A36" i="107"/>
  <c r="A35" i="107"/>
  <c r="I14" i="294"/>
  <c r="H14" i="294"/>
  <c r="F14" i="294"/>
  <c r="E14" i="294"/>
  <c r="E1" i="294"/>
  <c r="Z36" i="106"/>
  <c r="Y36" i="106"/>
  <c r="X36" i="106"/>
  <c r="W36" i="106"/>
  <c r="V36" i="106"/>
  <c r="U36" i="106"/>
  <c r="T36" i="106"/>
  <c r="S36" i="106"/>
  <c r="R36" i="106"/>
  <c r="Q36" i="106"/>
  <c r="P36" i="106"/>
  <c r="O36" i="106"/>
  <c r="N36" i="106"/>
  <c r="M36" i="106"/>
  <c r="L36" i="106"/>
  <c r="K36" i="106"/>
  <c r="J36" i="106"/>
  <c r="I36" i="106"/>
  <c r="H36" i="106"/>
  <c r="G36" i="106"/>
  <c r="F36" i="106"/>
  <c r="E36" i="106"/>
  <c r="D36" i="106"/>
  <c r="C36" i="106"/>
  <c r="A36" i="106"/>
  <c r="A35" i="106"/>
  <c r="I14" i="293"/>
  <c r="H14" i="293"/>
  <c r="F14" i="293"/>
  <c r="E14" i="293"/>
  <c r="E1" i="293"/>
  <c r="Z36" i="102"/>
  <c r="Y36" i="102"/>
  <c r="X36" i="102"/>
  <c r="W36" i="102"/>
  <c r="V36" i="102"/>
  <c r="U36" i="102"/>
  <c r="T36" i="102"/>
  <c r="S36" i="102"/>
  <c r="R36" i="102"/>
  <c r="Q36" i="102"/>
  <c r="P36" i="102"/>
  <c r="O36" i="102"/>
  <c r="N36" i="102"/>
  <c r="M36" i="102"/>
  <c r="L36" i="102"/>
  <c r="K36" i="102"/>
  <c r="J36" i="102"/>
  <c r="I36" i="102"/>
  <c r="H36" i="102"/>
  <c r="G36" i="102"/>
  <c r="F36" i="102"/>
  <c r="E36" i="102"/>
  <c r="D36" i="102"/>
  <c r="C36" i="102"/>
  <c r="A36" i="102"/>
  <c r="A35" i="102"/>
  <c r="I14" i="291"/>
  <c r="H14" i="291"/>
  <c r="F14" i="291"/>
  <c r="E14" i="291"/>
  <c r="E1" i="291"/>
  <c r="Z36" i="95"/>
  <c r="Y36" i="95"/>
  <c r="X36" i="95"/>
  <c r="W36" i="95"/>
  <c r="V36" i="95"/>
  <c r="U36" i="95"/>
  <c r="T36" i="95"/>
  <c r="S36" i="95"/>
  <c r="R36" i="95"/>
  <c r="Q36" i="95"/>
  <c r="P36" i="95"/>
  <c r="O36" i="95"/>
  <c r="N36" i="95"/>
  <c r="M36" i="95"/>
  <c r="L36" i="95"/>
  <c r="K36" i="95"/>
  <c r="J36" i="95"/>
  <c r="I36" i="95"/>
  <c r="H36" i="95"/>
  <c r="G36" i="95"/>
  <c r="F36" i="95"/>
  <c r="E36" i="95"/>
  <c r="D36" i="95"/>
  <c r="C36" i="95"/>
  <c r="A36" i="95"/>
  <c r="A35" i="95"/>
  <c r="I14" i="290"/>
  <c r="H14" i="290"/>
  <c r="F14" i="290"/>
  <c r="E14" i="290"/>
  <c r="E1" i="290"/>
  <c r="I14" i="289"/>
  <c r="H14" i="289"/>
  <c r="F14" i="289"/>
  <c r="E14" i="289"/>
  <c r="E1" i="289"/>
  <c r="Z36" i="94"/>
  <c r="Y36" i="94"/>
  <c r="X36" i="94"/>
  <c r="W36" i="94"/>
  <c r="V36" i="94"/>
  <c r="U36" i="94"/>
  <c r="T36" i="94"/>
  <c r="S36" i="94"/>
  <c r="R36" i="94"/>
  <c r="Q36" i="94"/>
  <c r="P36" i="94"/>
  <c r="O36" i="94"/>
  <c r="N36" i="94"/>
  <c r="M36" i="94"/>
  <c r="L36" i="94"/>
  <c r="K36" i="94"/>
  <c r="J36" i="94"/>
  <c r="I36" i="94"/>
  <c r="H36" i="94"/>
  <c r="G36" i="94"/>
  <c r="F36" i="94"/>
  <c r="E36" i="94"/>
  <c r="D36" i="94"/>
  <c r="C36" i="94"/>
  <c r="A36" i="94"/>
  <c r="A35" i="94"/>
  <c r="I14" i="288"/>
  <c r="H14" i="288"/>
  <c r="F14" i="288"/>
  <c r="E14" i="288"/>
  <c r="E1" i="288"/>
  <c r="Z36" i="90"/>
  <c r="Y36" i="90"/>
  <c r="X36" i="90"/>
  <c r="W36" i="90"/>
  <c r="V36" i="90"/>
  <c r="U36" i="90"/>
  <c r="T36" i="90"/>
  <c r="S36" i="90"/>
  <c r="R36" i="90"/>
  <c r="Q36" i="90"/>
  <c r="P36" i="90"/>
  <c r="O36" i="90"/>
  <c r="N36" i="90"/>
  <c r="M36" i="90"/>
  <c r="L36" i="90"/>
  <c r="K36" i="90"/>
  <c r="J36" i="90"/>
  <c r="I36" i="90"/>
  <c r="H36" i="90"/>
  <c r="G36" i="90"/>
  <c r="F36" i="90"/>
  <c r="E36" i="90"/>
  <c r="D36" i="90"/>
  <c r="C36" i="90"/>
  <c r="A36" i="90"/>
  <c r="A35" i="90"/>
  <c r="I14" i="287"/>
  <c r="H14" i="287"/>
  <c r="F14" i="287"/>
  <c r="E14" i="287"/>
  <c r="E1" i="287"/>
  <c r="C36" i="82"/>
  <c r="Z36" i="82"/>
  <c r="Y36" i="82"/>
  <c r="X36" i="82"/>
  <c r="W36" i="82"/>
  <c r="V36" i="82"/>
  <c r="U36" i="82"/>
  <c r="T36" i="82"/>
  <c r="S36" i="82"/>
  <c r="R36" i="82"/>
  <c r="Q36" i="82"/>
  <c r="P36" i="82"/>
  <c r="O36" i="82"/>
  <c r="N36" i="82"/>
  <c r="M36" i="82"/>
  <c r="L36" i="82"/>
  <c r="K36" i="82"/>
  <c r="J36" i="82"/>
  <c r="I36" i="82"/>
  <c r="H36" i="82"/>
  <c r="G36" i="82"/>
  <c r="F36" i="82"/>
  <c r="E36" i="82"/>
  <c r="D36" i="82"/>
  <c r="A36" i="82"/>
  <c r="A35" i="82"/>
  <c r="I14" i="286"/>
  <c r="H14" i="286"/>
  <c r="F14" i="286"/>
  <c r="E14" i="286"/>
  <c r="E1" i="286"/>
  <c r="C36" i="59"/>
  <c r="Z36" i="59"/>
  <c r="Y36" i="59"/>
  <c r="X36" i="59"/>
  <c r="W36" i="59"/>
  <c r="V36" i="59"/>
  <c r="U36" i="59"/>
  <c r="T36" i="59"/>
  <c r="S36" i="59"/>
  <c r="R36" i="59"/>
  <c r="Q36" i="59"/>
  <c r="P36" i="59"/>
  <c r="O36" i="59"/>
  <c r="N36" i="59"/>
  <c r="M36" i="59"/>
  <c r="L36" i="59"/>
  <c r="K36" i="59"/>
  <c r="J36" i="59"/>
  <c r="I36" i="59"/>
  <c r="H36" i="59"/>
  <c r="G36" i="59"/>
  <c r="F36" i="59"/>
  <c r="E36" i="59"/>
  <c r="D36" i="59"/>
  <c r="A36" i="59"/>
  <c r="A35" i="59"/>
  <c r="C2" i="59"/>
  <c r="I14" i="285"/>
  <c r="H14" i="285"/>
  <c r="F14" i="285"/>
  <c r="E14" i="285"/>
  <c r="E1" i="285"/>
  <c r="O14" i="282"/>
  <c r="I14" i="282"/>
  <c r="H14" i="282"/>
  <c r="F14" i="282"/>
  <c r="E14" i="282"/>
  <c r="E1" i="282"/>
  <c r="W28" i="296" l="1"/>
  <c r="G28" i="296"/>
  <c r="G29" i="296" s="1"/>
  <c r="H28" i="296"/>
  <c r="L28" i="296"/>
  <c r="L29" i="296" s="1"/>
  <c r="W29" i="296"/>
  <c r="M28" i="296"/>
  <c r="P28" i="296"/>
  <c r="P29" i="296" s="1"/>
  <c r="H29" i="296"/>
  <c r="U28" i="296"/>
  <c r="U29" i="296" s="1"/>
  <c r="V28" i="296"/>
  <c r="V29" i="296" s="1"/>
  <c r="Y29" i="296"/>
  <c r="B28" i="296"/>
  <c r="B29" i="296" s="1"/>
  <c r="J28" i="296"/>
  <c r="J29" i="296" s="1"/>
  <c r="C28" i="296"/>
  <c r="C29" i="296" s="1"/>
  <c r="D28" i="296"/>
  <c r="D29" i="296" s="1"/>
  <c r="T28" i="296"/>
  <c r="T29" i="296" s="1"/>
  <c r="O28" i="296"/>
  <c r="O29" i="296" s="1"/>
  <c r="Q28" i="296"/>
  <c r="Q29" i="296" s="1"/>
  <c r="N28" i="296"/>
  <c r="N29" i="296" s="1"/>
  <c r="M29" i="296"/>
  <c r="E28" i="296"/>
  <c r="E29" i="296" s="1"/>
  <c r="F28" i="296"/>
  <c r="F29" i="296" s="1"/>
  <c r="K28" i="296"/>
  <c r="K29" i="296" s="1"/>
  <c r="R28" i="296"/>
  <c r="R29" i="296" s="1"/>
  <c r="S28" i="296"/>
  <c r="S29" i="296" s="1"/>
  <c r="I28" i="296"/>
  <c r="I29" i="296" s="1"/>
  <c r="X28" i="296"/>
  <c r="X29" i="296" s="1"/>
  <c r="B2" i="112"/>
  <c r="B2" i="285"/>
  <c r="B2" i="289"/>
  <c r="B2" i="286"/>
  <c r="J8" i="15"/>
  <c r="B8" i="15" s="1"/>
  <c r="G4" i="296"/>
  <c r="G5" i="296" s="1"/>
  <c r="B2" i="290"/>
  <c r="B2" i="287"/>
  <c r="T4" i="296"/>
  <c r="T5" i="296" s="1"/>
  <c r="U4" i="296"/>
  <c r="U5" i="296" s="1"/>
  <c r="W4" i="296"/>
  <c r="V4" i="296"/>
  <c r="D4" i="296"/>
  <c r="D5" i="296" s="1"/>
  <c r="E4" i="296"/>
  <c r="E5" i="296" s="1"/>
  <c r="F4" i="296"/>
  <c r="F5" i="296" s="1"/>
  <c r="B2" i="295"/>
  <c r="B2" i="294"/>
  <c r="B2" i="288"/>
  <c r="B2" i="293"/>
  <c r="B2" i="291"/>
  <c r="K4" i="296"/>
  <c r="K5" i="296" s="1"/>
  <c r="M4" i="296"/>
  <c r="M5" i="296" s="1"/>
  <c r="X4" i="296"/>
  <c r="X5" i="296" s="1"/>
  <c r="J4" i="296"/>
  <c r="J5" i="296" s="1"/>
  <c r="L4" i="296"/>
  <c r="L5" i="296" s="1"/>
  <c r="N4" i="296"/>
  <c r="N5" i="296" s="1"/>
  <c r="V5" i="296"/>
  <c r="H4" i="296"/>
  <c r="H5" i="296" s="1"/>
  <c r="I4" i="296"/>
  <c r="I5" i="296" s="1"/>
  <c r="O4" i="296"/>
  <c r="O5" i="296" s="1"/>
  <c r="W5" i="296"/>
  <c r="P4" i="296"/>
  <c r="P5" i="296" s="1"/>
  <c r="Q4" i="296"/>
  <c r="Q5" i="296" s="1"/>
  <c r="Y5" i="296"/>
  <c r="B4" i="296"/>
  <c r="B5" i="296" s="1"/>
  <c r="R4" i="296"/>
  <c r="R5" i="296" s="1"/>
  <c r="C4" i="296"/>
  <c r="C5" i="296" s="1"/>
  <c r="S4" i="296"/>
  <c r="S5" i="296" s="1"/>
  <c r="Z36" i="281"/>
  <c r="Y36" i="281"/>
  <c r="X36" i="281"/>
  <c r="W36" i="281"/>
  <c r="V36" i="281"/>
  <c r="U36" i="281"/>
  <c r="T36" i="281"/>
  <c r="S36" i="281"/>
  <c r="R36" i="281"/>
  <c r="Q36" i="281"/>
  <c r="P36" i="281"/>
  <c r="O36" i="281"/>
  <c r="N36" i="281"/>
  <c r="M36" i="281"/>
  <c r="L36" i="281"/>
  <c r="K36" i="281"/>
  <c r="J36" i="281"/>
  <c r="I36" i="281"/>
  <c r="H36" i="281"/>
  <c r="G36" i="281"/>
  <c r="F36" i="281"/>
  <c r="E36" i="281"/>
  <c r="D36" i="281"/>
  <c r="C36" i="281"/>
  <c r="A36" i="281"/>
  <c r="A35" i="281"/>
  <c r="B6" i="281"/>
  <c r="Y2" i="281"/>
  <c r="X2" i="281"/>
  <c r="W2" i="281"/>
  <c r="V2" i="281"/>
  <c r="U2" i="281"/>
  <c r="T2" i="281"/>
  <c r="S2" i="281"/>
  <c r="R2" i="281"/>
  <c r="Q2" i="281"/>
  <c r="P2" i="281"/>
  <c r="O2" i="281"/>
  <c r="N2" i="281"/>
  <c r="M2" i="281"/>
  <c r="L2" i="281"/>
  <c r="K2" i="281"/>
  <c r="J2" i="281"/>
  <c r="I2" i="281"/>
  <c r="H2" i="281"/>
  <c r="G2" i="281"/>
  <c r="F2" i="281"/>
  <c r="E2" i="281"/>
  <c r="D2" i="281"/>
  <c r="C2" i="281"/>
  <c r="B2" i="281"/>
  <c r="I14" i="278"/>
  <c r="H14" i="278"/>
  <c r="F14" i="278"/>
  <c r="E14" i="278"/>
  <c r="B2" i="278"/>
  <c r="E1" i="278"/>
  <c r="C36" i="50"/>
  <c r="Z36" i="50"/>
  <c r="Y36" i="50"/>
  <c r="X36" i="50"/>
  <c r="W36" i="50"/>
  <c r="V36" i="50"/>
  <c r="U36" i="50"/>
  <c r="T36" i="50"/>
  <c r="S36" i="50"/>
  <c r="R36" i="50"/>
  <c r="Q36" i="50"/>
  <c r="P36" i="50"/>
  <c r="O36" i="50"/>
  <c r="N36" i="50"/>
  <c r="M36" i="50"/>
  <c r="L36" i="50"/>
  <c r="K36" i="50"/>
  <c r="J36" i="50"/>
  <c r="I36" i="50"/>
  <c r="H36" i="50"/>
  <c r="G36" i="50"/>
  <c r="F36" i="50"/>
  <c r="E36" i="50"/>
  <c r="D36" i="50"/>
  <c r="A36" i="50"/>
  <c r="A35" i="50"/>
  <c r="B40" i="44"/>
  <c r="B33" i="287" s="1"/>
  <c r="C40" i="44"/>
  <c r="C33" i="287" s="1"/>
  <c r="D40" i="44"/>
  <c r="D33" i="287" s="1"/>
  <c r="E40" i="44"/>
  <c r="E33" i="287" s="1"/>
  <c r="F40" i="44"/>
  <c r="F33" i="287" s="1"/>
  <c r="G40" i="44"/>
  <c r="G33" i="287" s="1"/>
  <c r="H40" i="44"/>
  <c r="H33" i="287" s="1"/>
  <c r="I40" i="44"/>
  <c r="I33" i="287" s="1"/>
  <c r="J40" i="44"/>
  <c r="J33" i="287" s="1"/>
  <c r="K40" i="44"/>
  <c r="K33" i="287" s="1"/>
  <c r="L40" i="44"/>
  <c r="L33" i="287" s="1"/>
  <c r="M40" i="44"/>
  <c r="M33" i="287" s="1"/>
  <c r="N40" i="44"/>
  <c r="N33" i="287" s="1"/>
  <c r="O40" i="44"/>
  <c r="O33" i="287" s="1"/>
  <c r="P40" i="44"/>
  <c r="P33" i="287" s="1"/>
  <c r="Q40" i="44"/>
  <c r="Q33" i="287" s="1"/>
  <c r="R40" i="44"/>
  <c r="R33" i="287" s="1"/>
  <c r="S40" i="44"/>
  <c r="S33" i="287" s="1"/>
  <c r="T40" i="44"/>
  <c r="T33" i="287" s="1"/>
  <c r="U40" i="44"/>
  <c r="U33" i="287" s="1"/>
  <c r="V40" i="44"/>
  <c r="V33" i="287" s="1"/>
  <c r="W40" i="44"/>
  <c r="W33" i="287" s="1"/>
  <c r="X40" i="44"/>
  <c r="X33" i="287" s="1"/>
  <c r="Y40" i="44"/>
  <c r="Y33" i="287" s="1"/>
  <c r="Z40" i="44"/>
  <c r="Z33" i="287" s="1"/>
  <c r="B43" i="44"/>
  <c r="B44" i="44" s="1"/>
  <c r="B2" i="276"/>
  <c r="C36" i="35"/>
  <c r="C36" i="49"/>
  <c r="Z36" i="49"/>
  <c r="Y36" i="49"/>
  <c r="X36" i="49"/>
  <c r="W36" i="49"/>
  <c r="V36" i="49"/>
  <c r="U36" i="49"/>
  <c r="T36" i="49"/>
  <c r="S36" i="49"/>
  <c r="R36" i="49"/>
  <c r="Q36" i="49"/>
  <c r="P36" i="49"/>
  <c r="O36" i="49"/>
  <c r="N36" i="49"/>
  <c r="M36" i="49"/>
  <c r="L36" i="49"/>
  <c r="K36" i="49"/>
  <c r="J36" i="49"/>
  <c r="I36" i="49"/>
  <c r="H36" i="49"/>
  <c r="G36" i="49"/>
  <c r="F36" i="49"/>
  <c r="E36" i="49"/>
  <c r="D36" i="49"/>
  <c r="A36" i="49"/>
  <c r="A35" i="49"/>
  <c r="D44" i="44" l="1"/>
  <c r="C50" i="44" s="1"/>
  <c r="B30" i="296"/>
  <c r="B34" i="296"/>
  <c r="B38" i="296"/>
  <c r="B36" i="296"/>
  <c r="I6" i="296"/>
  <c r="E32" i="296"/>
  <c r="B31" i="296"/>
  <c r="B32" i="296"/>
  <c r="B6" i="296"/>
  <c r="B8" i="296" s="1"/>
  <c r="P9" i="15"/>
  <c r="P10" i="15" s="1"/>
  <c r="W9" i="15"/>
  <c r="W10" i="15" s="1"/>
  <c r="V9" i="15"/>
  <c r="V10" i="15" s="1"/>
  <c r="F9" i="15"/>
  <c r="F10" i="15" s="1"/>
  <c r="N9" i="15"/>
  <c r="N10" i="15" s="1"/>
  <c r="E9" i="15"/>
  <c r="E10" i="15" s="1"/>
  <c r="M9" i="15"/>
  <c r="M10" i="15" s="1"/>
  <c r="S9" i="15"/>
  <c r="S10" i="15" s="1"/>
  <c r="R9" i="15"/>
  <c r="R10" i="15" s="1"/>
  <c r="L9" i="15"/>
  <c r="L10" i="15" s="1"/>
  <c r="K9" i="15"/>
  <c r="K10" i="15" s="1"/>
  <c r="Y9" i="15"/>
  <c r="Y10" i="15" s="1"/>
  <c r="H9" i="15"/>
  <c r="H10" i="15" s="1"/>
  <c r="G9" i="15"/>
  <c r="G10" i="15" s="1"/>
  <c r="O9" i="15"/>
  <c r="O10" i="15" s="1"/>
  <c r="U9" i="15"/>
  <c r="U10" i="15" s="1"/>
  <c r="T9" i="15"/>
  <c r="T10" i="15" s="1"/>
  <c r="D9" i="15"/>
  <c r="D10" i="15" s="1"/>
  <c r="Z10" i="15"/>
  <c r="J9" i="15"/>
  <c r="J10" i="15" s="1"/>
  <c r="C9" i="15"/>
  <c r="C10" i="15" s="1"/>
  <c r="X9" i="15"/>
  <c r="X10" i="15" s="1"/>
  <c r="Q9" i="15"/>
  <c r="Q10" i="15" s="1"/>
  <c r="I9" i="15"/>
  <c r="I10" i="15" s="1"/>
  <c r="B7" i="296"/>
  <c r="A2" i="281"/>
  <c r="I3" i="281" s="1"/>
  <c r="D45" i="44"/>
  <c r="D46" i="44" s="1"/>
  <c r="C44" i="44"/>
  <c r="C45" i="44" s="1"/>
  <c r="C46" i="44" s="1"/>
  <c r="Z36" i="35"/>
  <c r="Y36" i="35"/>
  <c r="X36" i="35"/>
  <c r="W36" i="35"/>
  <c r="V36" i="35"/>
  <c r="U36" i="35"/>
  <c r="T36" i="35"/>
  <c r="S36" i="35"/>
  <c r="R36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A36" i="35"/>
  <c r="A35" i="35"/>
  <c r="K48" i="275"/>
  <c r="G48" i="275"/>
  <c r="K47" i="275"/>
  <c r="K46" i="275"/>
  <c r="B10" i="15" l="1"/>
  <c r="J11" i="15"/>
  <c r="F12" i="15"/>
  <c r="F11" i="15"/>
  <c r="C12" i="15"/>
  <c r="D3" i="281"/>
  <c r="T3" i="281"/>
  <c r="R3" i="281"/>
  <c r="E3" i="281"/>
  <c r="P3" i="281"/>
  <c r="U3" i="281"/>
  <c r="Q3" i="281"/>
  <c r="F3" i="281"/>
  <c r="S3" i="281"/>
  <c r="O3" i="281"/>
  <c r="G3" i="281"/>
  <c r="M3" i="281"/>
  <c r="C3" i="281"/>
  <c r="N3" i="281"/>
  <c r="L3" i="281"/>
  <c r="J3" i="281"/>
  <c r="K3" i="281"/>
  <c r="X3" i="281"/>
  <c r="H3" i="281"/>
  <c r="V3" i="281"/>
  <c r="B3" i="281"/>
  <c r="Y3" i="281"/>
  <c r="A3" i="281"/>
  <c r="W3" i="281"/>
  <c r="K47" i="15"/>
  <c r="G47" i="15"/>
  <c r="K46" i="15"/>
  <c r="K45" i="15"/>
  <c r="K51" i="44"/>
  <c r="G51" i="44"/>
  <c r="K50" i="44"/>
  <c r="K49" i="44"/>
  <c r="K35" i="275"/>
  <c r="J35" i="275"/>
  <c r="D35" i="275"/>
  <c r="C35" i="275"/>
  <c r="A23" i="275"/>
  <c r="Z22" i="275"/>
  <c r="Y22" i="275"/>
  <c r="X22" i="275"/>
  <c r="W22" i="275"/>
  <c r="V22" i="275"/>
  <c r="U22" i="275"/>
  <c r="T22" i="275"/>
  <c r="S22" i="275"/>
  <c r="R22" i="275"/>
  <c r="Q22" i="275"/>
  <c r="P22" i="275"/>
  <c r="O22" i="275"/>
  <c r="N22" i="275"/>
  <c r="M22" i="275"/>
  <c r="L22" i="275"/>
  <c r="K22" i="275"/>
  <c r="J22" i="275"/>
  <c r="I22" i="275"/>
  <c r="H22" i="275"/>
  <c r="G22" i="275"/>
  <c r="F22" i="275"/>
  <c r="E22" i="275"/>
  <c r="D22" i="275"/>
  <c r="C22" i="275"/>
  <c r="B22" i="275"/>
  <c r="A22" i="275"/>
  <c r="I14" i="275"/>
  <c r="H14" i="275"/>
  <c r="K44" i="44" l="1"/>
  <c r="B35" i="275"/>
  <c r="C36" i="275" s="1"/>
  <c r="C35" i="15"/>
  <c r="K39" i="44"/>
  <c r="K32" i="287" s="1"/>
  <c r="K38" i="44"/>
  <c r="K31" i="287" s="1"/>
  <c r="K37" i="44"/>
  <c r="K30" i="287" s="1"/>
  <c r="G39" i="44"/>
  <c r="G32" i="287" s="1"/>
  <c r="D36" i="275" l="1"/>
  <c r="F44" i="44"/>
  <c r="T44" i="44"/>
  <c r="M44" i="44"/>
  <c r="S44" i="44"/>
  <c r="H44" i="44"/>
  <c r="I44" i="44"/>
  <c r="J44" i="44"/>
  <c r="C49" i="44" s="1"/>
  <c r="Z44" i="44"/>
  <c r="R44" i="44"/>
  <c r="O44" i="44"/>
  <c r="W44" i="44"/>
  <c r="G44" i="44"/>
  <c r="L44" i="44"/>
  <c r="V44" i="44"/>
  <c r="U44" i="44"/>
  <c r="Y44" i="44"/>
  <c r="E44" i="44"/>
  <c r="P44" i="44"/>
  <c r="Q46" i="44" s="1"/>
  <c r="N44" i="44"/>
  <c r="Q44" i="44"/>
  <c r="X44" i="44"/>
  <c r="Z36" i="275"/>
  <c r="Y36" i="275"/>
  <c r="I36" i="275"/>
  <c r="X36" i="275"/>
  <c r="H36" i="275"/>
  <c r="W36" i="275"/>
  <c r="G36" i="275"/>
  <c r="V36" i="275"/>
  <c r="F36" i="275"/>
  <c r="U36" i="275"/>
  <c r="E36" i="275"/>
  <c r="T36" i="275"/>
  <c r="S36" i="275"/>
  <c r="R36" i="275"/>
  <c r="B36" i="275"/>
  <c r="Q36" i="275"/>
  <c r="P36" i="275"/>
  <c r="O36" i="275"/>
  <c r="N36" i="275"/>
  <c r="M36" i="275"/>
  <c r="L36" i="275"/>
  <c r="K36" i="275"/>
  <c r="J36" i="275"/>
  <c r="N45" i="44" l="1"/>
  <c r="N46" i="44" s="1"/>
  <c r="F45" i="44"/>
  <c r="K45" i="44"/>
  <c r="K46" i="44" s="1"/>
  <c r="M45" i="44"/>
  <c r="M46" i="44" s="1"/>
  <c r="E45" i="44"/>
  <c r="E46" i="44" s="1"/>
  <c r="F46" i="44"/>
  <c r="C47" i="44" s="1"/>
  <c r="L45" i="44"/>
  <c r="L46" i="44" s="1"/>
  <c r="E50" i="44"/>
  <c r="J45" i="44"/>
  <c r="J46" i="44" s="1"/>
  <c r="I45" i="44"/>
  <c r="I46" i="44" s="1"/>
  <c r="O45" i="44"/>
  <c r="O46" i="44" s="1"/>
  <c r="G45" i="44"/>
  <c r="G46" i="44" s="1"/>
  <c r="P45" i="44"/>
  <c r="P46" i="44" s="1"/>
  <c r="H45" i="44"/>
  <c r="H46" i="44" s="1"/>
  <c r="C48" i="44" l="1"/>
  <c r="C51" i="44" s="1"/>
  <c r="E48" i="44"/>
  <c r="E49" i="44"/>
  <c r="J47" i="44"/>
  <c r="E47" i="44"/>
  <c r="K35" i="15"/>
  <c r="J35" i="15"/>
  <c r="D35" i="15"/>
  <c r="B4" i="44"/>
  <c r="A22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23" i="15"/>
  <c r="B36" i="111" l="1"/>
  <c r="B35" i="15"/>
  <c r="Z36" i="15" s="1"/>
  <c r="B36" i="106"/>
  <c r="B36" i="107"/>
  <c r="B36" i="95"/>
  <c r="B36" i="102"/>
  <c r="B36" i="59"/>
  <c r="B36" i="90"/>
  <c r="B36" i="82"/>
  <c r="B36" i="94"/>
  <c r="B36" i="50"/>
  <c r="B36" i="281"/>
  <c r="B36" i="49"/>
  <c r="B36" i="35"/>
  <c r="E51" i="44"/>
  <c r="X35" i="271"/>
  <c r="N36" i="15" l="1"/>
  <c r="K36" i="15"/>
  <c r="M36" i="15"/>
  <c r="J36" i="15"/>
  <c r="Y36" i="15"/>
  <c r="X36" i="15"/>
  <c r="H36" i="15"/>
  <c r="W36" i="15"/>
  <c r="G36" i="15"/>
  <c r="V36" i="15"/>
  <c r="F36" i="15"/>
  <c r="U36" i="15"/>
  <c r="E36" i="15"/>
  <c r="T36" i="15"/>
  <c r="D36" i="15"/>
  <c r="S36" i="15"/>
  <c r="C36" i="15"/>
  <c r="R36" i="15"/>
  <c r="B36" i="15"/>
  <c r="Q36" i="15"/>
  <c r="I36" i="15"/>
  <c r="O36" i="15"/>
  <c r="L36" i="15"/>
  <c r="P36" i="15"/>
  <c r="V35" i="271"/>
  <c r="W35" i="271"/>
  <c r="Y35" i="271"/>
  <c r="D34" i="271"/>
  <c r="D33" i="271"/>
  <c r="D32" i="271"/>
  <c r="U35" i="271"/>
  <c r="T35" i="271"/>
  <c r="S35" i="271"/>
  <c r="R35" i="271"/>
  <c r="Q35" i="271"/>
  <c r="P35" i="271"/>
  <c r="O35" i="271"/>
  <c r="N35" i="271"/>
  <c r="M35" i="271"/>
  <c r="L35" i="271"/>
  <c r="K35" i="271"/>
  <c r="J35" i="271"/>
  <c r="I35" i="271"/>
  <c r="H35" i="271"/>
  <c r="G35" i="271"/>
  <c r="F35" i="271"/>
  <c r="D31" i="271"/>
  <c r="D30" i="271"/>
  <c r="D29" i="271"/>
  <c r="D28" i="271"/>
  <c r="D27" i="271"/>
  <c r="D26" i="271"/>
  <c r="C24" i="271"/>
  <c r="C22" i="271" s="1"/>
  <c r="B24" i="271"/>
  <c r="B25" i="271" s="1"/>
  <c r="D22" i="271"/>
  <c r="AA24" i="271"/>
  <c r="Z24" i="271"/>
  <c r="Y24" i="271"/>
  <c r="X24" i="271"/>
  <c r="W24" i="271"/>
  <c r="V24" i="271"/>
  <c r="U24" i="271"/>
  <c r="T24" i="271"/>
  <c r="S24" i="271"/>
  <c r="R24" i="271"/>
  <c r="Q24" i="271"/>
  <c r="P24" i="271"/>
  <c r="O24" i="271"/>
  <c r="N24" i="271"/>
  <c r="M24" i="271"/>
  <c r="L24" i="271"/>
  <c r="K24" i="271"/>
  <c r="J24" i="271"/>
  <c r="I24" i="271"/>
  <c r="H24" i="271"/>
  <c r="G24" i="271"/>
  <c r="F24" i="271"/>
  <c r="E24" i="271"/>
  <c r="C18" i="271"/>
  <c r="C17" i="271"/>
  <c r="C16" i="271"/>
  <c r="C15" i="271"/>
  <c r="C14" i="271"/>
  <c r="V13" i="271"/>
  <c r="U13" i="271"/>
  <c r="T13" i="271"/>
  <c r="S13" i="271"/>
  <c r="R13" i="271"/>
  <c r="Q13" i="271"/>
  <c r="P13" i="271"/>
  <c r="O13" i="271"/>
  <c r="N13" i="271"/>
  <c r="M13" i="271"/>
  <c r="L13" i="271"/>
  <c r="K13" i="271"/>
  <c r="J13" i="271"/>
  <c r="I13" i="271"/>
  <c r="H13" i="271"/>
  <c r="G13" i="271"/>
  <c r="F13" i="271"/>
  <c r="E13" i="271"/>
  <c r="C13" i="271"/>
  <c r="C12" i="271"/>
  <c r="C11" i="271"/>
  <c r="C10" i="271"/>
  <c r="Z5" i="271"/>
  <c r="B4" i="271"/>
  <c r="W5" i="271" s="1"/>
  <c r="W6" i="271" s="1"/>
  <c r="B2" i="271"/>
  <c r="C5" i="271" l="1"/>
  <c r="C6" i="271" s="1"/>
  <c r="G5" i="271"/>
  <c r="G6" i="271" s="1"/>
  <c r="K5" i="271"/>
  <c r="K6" i="271" s="1"/>
  <c r="O5" i="271"/>
  <c r="O6" i="271" s="1"/>
  <c r="S5" i="271"/>
  <c r="S6" i="271" s="1"/>
  <c r="H5" i="271"/>
  <c r="H6" i="271" s="1"/>
  <c r="P5" i="271"/>
  <c r="P6" i="271" s="1"/>
  <c r="X5" i="271"/>
  <c r="X6" i="271" s="1"/>
  <c r="I5" i="271"/>
  <c r="Q5" i="271"/>
  <c r="Q6" i="271" s="1"/>
  <c r="Y5" i="271"/>
  <c r="Y6" i="271" s="1"/>
  <c r="I6" i="271"/>
  <c r="J5" i="271"/>
  <c r="J6" i="271" s="1"/>
  <c r="R5" i="271"/>
  <c r="R6" i="271" s="1"/>
  <c r="Z6" i="271"/>
  <c r="D5" i="271"/>
  <c r="D6" i="271" s="1"/>
  <c r="L5" i="271"/>
  <c r="T5" i="271"/>
  <c r="L6" i="271"/>
  <c r="T6" i="271"/>
  <c r="E5" i="271"/>
  <c r="E6" i="271" s="1"/>
  <c r="M5" i="271"/>
  <c r="M6" i="271" s="1"/>
  <c r="U5" i="271"/>
  <c r="U6" i="271" s="1"/>
  <c r="F5" i="271"/>
  <c r="F6" i="271" s="1"/>
  <c r="N5" i="271"/>
  <c r="V5" i="271"/>
  <c r="V6" i="271" s="1"/>
  <c r="N6" i="271"/>
  <c r="C8" i="271" l="1"/>
  <c r="C7" i="271"/>
  <c r="J7" i="271"/>
  <c r="C9" i="271" l="1"/>
  <c r="G18" i="114" l="1"/>
  <c r="C18" i="114"/>
  <c r="G17" i="114"/>
  <c r="C17" i="114"/>
  <c r="G16" i="114"/>
  <c r="C16" i="114"/>
  <c r="G11" i="114"/>
  <c r="C10" i="114"/>
  <c r="C9" i="114"/>
  <c r="C8" i="114"/>
  <c r="C7" i="114"/>
  <c r="Q6" i="114"/>
  <c r="B4" i="114"/>
  <c r="K2" i="114"/>
  <c r="J2" i="114"/>
  <c r="C2" i="114"/>
  <c r="A2" i="113"/>
  <c r="Y3" i="113" s="1"/>
  <c r="B33" i="111" s="1"/>
  <c r="O14" i="112"/>
  <c r="I14" i="112"/>
  <c r="H14" i="112"/>
  <c r="F14" i="112"/>
  <c r="E14" i="112"/>
  <c r="E1" i="112"/>
  <c r="B6" i="111"/>
  <c r="Y2" i="111"/>
  <c r="X2" i="111"/>
  <c r="W2" i="111"/>
  <c r="V2" i="111"/>
  <c r="U2" i="111"/>
  <c r="T2" i="111"/>
  <c r="S2" i="111"/>
  <c r="R2" i="111"/>
  <c r="Q2" i="111"/>
  <c r="P2" i="111"/>
  <c r="O2" i="111"/>
  <c r="N2" i="111"/>
  <c r="M2" i="111"/>
  <c r="L2" i="111"/>
  <c r="K2" i="111"/>
  <c r="J2" i="111"/>
  <c r="I2" i="111"/>
  <c r="H2" i="111"/>
  <c r="G2" i="111"/>
  <c r="F2" i="111"/>
  <c r="E2" i="111"/>
  <c r="D2" i="111"/>
  <c r="C2" i="111"/>
  <c r="B2" i="111"/>
  <c r="G18" i="110"/>
  <c r="C18" i="110"/>
  <c r="G17" i="110"/>
  <c r="C17" i="110"/>
  <c r="G16" i="110"/>
  <c r="C16" i="110"/>
  <c r="G11" i="110"/>
  <c r="C10" i="110"/>
  <c r="C9" i="110"/>
  <c r="C8" i="110"/>
  <c r="C7" i="110"/>
  <c r="Q6" i="110"/>
  <c r="B4" i="110"/>
  <c r="K2" i="110"/>
  <c r="J2" i="110"/>
  <c r="C2" i="110"/>
  <c r="A2" i="109"/>
  <c r="Q3" i="109" s="1"/>
  <c r="B25" i="107" s="1"/>
  <c r="J25" i="107" s="1"/>
  <c r="O14" i="108"/>
  <c r="I14" i="108"/>
  <c r="H14" i="108"/>
  <c r="F14" i="108"/>
  <c r="E14" i="108"/>
  <c r="B2" i="108"/>
  <c r="E1" i="108"/>
  <c r="B6" i="107"/>
  <c r="Y2" i="107"/>
  <c r="X2" i="107"/>
  <c r="W2" i="107"/>
  <c r="V2" i="107"/>
  <c r="U2" i="107"/>
  <c r="T2" i="107"/>
  <c r="S2" i="107"/>
  <c r="R2" i="107"/>
  <c r="Q2" i="107"/>
  <c r="P2" i="107"/>
  <c r="O2" i="107"/>
  <c r="N2" i="107"/>
  <c r="M2" i="107"/>
  <c r="L2" i="107"/>
  <c r="K2" i="107"/>
  <c r="J2" i="107"/>
  <c r="I2" i="107"/>
  <c r="H2" i="107"/>
  <c r="G2" i="107"/>
  <c r="F2" i="107"/>
  <c r="E2" i="107"/>
  <c r="D2" i="107"/>
  <c r="C2" i="107"/>
  <c r="B2" i="107"/>
  <c r="B6" i="106"/>
  <c r="Y2" i="106"/>
  <c r="X2" i="106"/>
  <c r="W2" i="106"/>
  <c r="V2" i="106"/>
  <c r="U2" i="106"/>
  <c r="T2" i="106"/>
  <c r="S2" i="106"/>
  <c r="R2" i="106"/>
  <c r="Q2" i="106"/>
  <c r="P2" i="106"/>
  <c r="O2" i="106"/>
  <c r="N2" i="106"/>
  <c r="M2" i="106"/>
  <c r="L2" i="106"/>
  <c r="K2" i="106"/>
  <c r="J2" i="106"/>
  <c r="I2" i="106"/>
  <c r="H2" i="106"/>
  <c r="G2" i="106"/>
  <c r="F2" i="106"/>
  <c r="E2" i="106"/>
  <c r="D2" i="106"/>
  <c r="C2" i="106"/>
  <c r="B2" i="106"/>
  <c r="O14" i="105"/>
  <c r="I14" i="105"/>
  <c r="H14" i="105"/>
  <c r="F14" i="105"/>
  <c r="E14" i="105"/>
  <c r="B2" i="105"/>
  <c r="E1" i="105"/>
  <c r="A2" i="104"/>
  <c r="W3" i="104" s="1"/>
  <c r="B31" i="106" s="1"/>
  <c r="G18" i="103"/>
  <c r="C18" i="103"/>
  <c r="G17" i="103"/>
  <c r="C17" i="103"/>
  <c r="G16" i="103"/>
  <c r="C16" i="103"/>
  <c r="G11" i="103"/>
  <c r="C10" i="103"/>
  <c r="C9" i="103"/>
  <c r="C8" i="103"/>
  <c r="C7" i="103"/>
  <c r="Q6" i="103"/>
  <c r="B4" i="103"/>
  <c r="K2" i="103"/>
  <c r="J2" i="103"/>
  <c r="C2" i="103"/>
  <c r="B2" i="103" s="1"/>
  <c r="B6" i="102"/>
  <c r="Y2" i="102"/>
  <c r="X2" i="102"/>
  <c r="W2" i="102"/>
  <c r="V2" i="102"/>
  <c r="U2" i="102"/>
  <c r="T2" i="102"/>
  <c r="S2" i="102"/>
  <c r="R2" i="102"/>
  <c r="Q2" i="102"/>
  <c r="P2" i="102"/>
  <c r="O2" i="102"/>
  <c r="N2" i="102"/>
  <c r="M2" i="102"/>
  <c r="L2" i="102"/>
  <c r="K2" i="102"/>
  <c r="J2" i="102"/>
  <c r="I2" i="102"/>
  <c r="H2" i="102"/>
  <c r="G2" i="102"/>
  <c r="F2" i="102"/>
  <c r="E2" i="102"/>
  <c r="D2" i="102"/>
  <c r="C2" i="102"/>
  <c r="B2" i="102"/>
  <c r="O14" i="101"/>
  <c r="I14" i="101"/>
  <c r="H14" i="101"/>
  <c r="F14" i="101"/>
  <c r="E14" i="101"/>
  <c r="B2" i="101"/>
  <c r="E1" i="101"/>
  <c r="A2" i="100"/>
  <c r="X3" i="100" s="1"/>
  <c r="B32" i="102" s="1"/>
  <c r="J32" i="102" s="1"/>
  <c r="G18" i="99"/>
  <c r="C18" i="99"/>
  <c r="G17" i="99"/>
  <c r="C17" i="99"/>
  <c r="G16" i="99"/>
  <c r="C16" i="99"/>
  <c r="G11" i="99"/>
  <c r="C10" i="99"/>
  <c r="C9" i="99"/>
  <c r="C8" i="99"/>
  <c r="C7" i="99"/>
  <c r="Q6" i="99"/>
  <c r="B4" i="99"/>
  <c r="K2" i="99"/>
  <c r="J2" i="99"/>
  <c r="C2" i="99"/>
  <c r="G18" i="98"/>
  <c r="C18" i="98"/>
  <c r="G17" i="98"/>
  <c r="C17" i="98"/>
  <c r="G16" i="98"/>
  <c r="C16" i="98"/>
  <c r="G11" i="98"/>
  <c r="C10" i="98"/>
  <c r="C9" i="98"/>
  <c r="C8" i="98"/>
  <c r="C7" i="98"/>
  <c r="Q6" i="98"/>
  <c r="P5" i="98"/>
  <c r="P6" i="98" s="1"/>
  <c r="I5" i="98"/>
  <c r="E5" i="98"/>
  <c r="E6" i="98" s="1"/>
  <c r="B4" i="98"/>
  <c r="K5" i="98" s="1"/>
  <c r="K6" i="98" s="1"/>
  <c r="K2" i="98"/>
  <c r="J2" i="98"/>
  <c r="C2" i="98"/>
  <c r="B2" i="98" s="1"/>
  <c r="A2" i="97"/>
  <c r="X3" i="97" s="1"/>
  <c r="B32" i="95" s="1"/>
  <c r="O14" i="96"/>
  <c r="I14" i="96"/>
  <c r="H14" i="96"/>
  <c r="F14" i="96"/>
  <c r="E14" i="96"/>
  <c r="B2" i="96"/>
  <c r="E1" i="96"/>
  <c r="B6" i="95"/>
  <c r="Y2" i="95"/>
  <c r="X2" i="95"/>
  <c r="W2" i="95"/>
  <c r="V2" i="95"/>
  <c r="U2" i="95"/>
  <c r="T2" i="95"/>
  <c r="S2" i="95"/>
  <c r="R2" i="95"/>
  <c r="Q2" i="95"/>
  <c r="P2" i="95"/>
  <c r="O2" i="95"/>
  <c r="N2" i="95"/>
  <c r="M2" i="95"/>
  <c r="L2" i="95"/>
  <c r="K2" i="95"/>
  <c r="J2" i="95"/>
  <c r="I2" i="95"/>
  <c r="H2" i="95"/>
  <c r="G2" i="95"/>
  <c r="F2" i="95"/>
  <c r="E2" i="95"/>
  <c r="D2" i="95"/>
  <c r="C2" i="95"/>
  <c r="B2" i="95"/>
  <c r="B6" i="94"/>
  <c r="Y2" i="94"/>
  <c r="X2" i="94"/>
  <c r="W2" i="94"/>
  <c r="V2" i="94"/>
  <c r="U2" i="94"/>
  <c r="T2" i="94"/>
  <c r="S2" i="94"/>
  <c r="R2" i="94"/>
  <c r="Q2" i="94"/>
  <c r="P2" i="94"/>
  <c r="O2" i="94"/>
  <c r="N2" i="94"/>
  <c r="M2" i="94"/>
  <c r="L2" i="94"/>
  <c r="K2" i="94"/>
  <c r="J2" i="94"/>
  <c r="I2" i="94"/>
  <c r="H2" i="94"/>
  <c r="G2" i="94"/>
  <c r="F2" i="94"/>
  <c r="E2" i="94"/>
  <c r="D2" i="94"/>
  <c r="C2" i="94"/>
  <c r="B2" i="94"/>
  <c r="O14" i="93"/>
  <c r="I14" i="93"/>
  <c r="H14" i="93"/>
  <c r="F14" i="93"/>
  <c r="E14" i="93"/>
  <c r="B2" i="93"/>
  <c r="E1" i="93"/>
  <c r="A2" i="92"/>
  <c r="Y3" i="92" s="1"/>
  <c r="B33" i="94" s="1"/>
  <c r="G18" i="91"/>
  <c r="C18" i="91"/>
  <c r="G17" i="91"/>
  <c r="C17" i="91"/>
  <c r="G16" i="91"/>
  <c r="C16" i="91"/>
  <c r="G11" i="91"/>
  <c r="C10" i="91"/>
  <c r="C9" i="91"/>
  <c r="C8" i="91"/>
  <c r="C7" i="91"/>
  <c r="Q6" i="91"/>
  <c r="B4" i="91"/>
  <c r="K2" i="91"/>
  <c r="J2" i="91"/>
  <c r="C2" i="91"/>
  <c r="B6" i="90"/>
  <c r="Y2" i="90"/>
  <c r="X2" i="90"/>
  <c r="W2" i="90"/>
  <c r="V2" i="90"/>
  <c r="U2" i="90"/>
  <c r="T2" i="90"/>
  <c r="S2" i="90"/>
  <c r="R2" i="90"/>
  <c r="Q2" i="90"/>
  <c r="P2" i="90"/>
  <c r="O2" i="90"/>
  <c r="N2" i="90"/>
  <c r="M2" i="90"/>
  <c r="L2" i="90"/>
  <c r="K2" i="90"/>
  <c r="J2" i="90"/>
  <c r="I2" i="90"/>
  <c r="H2" i="90"/>
  <c r="G2" i="90"/>
  <c r="F2" i="90"/>
  <c r="E2" i="90"/>
  <c r="D2" i="90"/>
  <c r="C2" i="90"/>
  <c r="B2" i="90"/>
  <c r="O14" i="89"/>
  <c r="I14" i="89"/>
  <c r="H14" i="89"/>
  <c r="F14" i="89"/>
  <c r="E14" i="89"/>
  <c r="B2" i="89"/>
  <c r="E1" i="89"/>
  <c r="A2" i="88"/>
  <c r="Y3" i="88" s="1"/>
  <c r="B33" i="90" s="1"/>
  <c r="G18" i="87"/>
  <c r="C18" i="87"/>
  <c r="G17" i="87"/>
  <c r="C17" i="87"/>
  <c r="G16" i="87"/>
  <c r="C16" i="87"/>
  <c r="G11" i="87"/>
  <c r="C10" i="87"/>
  <c r="C9" i="87"/>
  <c r="C8" i="87"/>
  <c r="C7" i="87"/>
  <c r="Q6" i="87"/>
  <c r="B4" i="87"/>
  <c r="K2" i="87"/>
  <c r="J2" i="87"/>
  <c r="C2" i="87"/>
  <c r="B2" i="87" s="1"/>
  <c r="B2" i="91" l="1"/>
  <c r="B2" i="110"/>
  <c r="B2" i="114"/>
  <c r="B2" i="99"/>
  <c r="A3" i="100"/>
  <c r="B9" i="102" s="1"/>
  <c r="G3" i="100"/>
  <c r="B15" i="102" s="1"/>
  <c r="J15" i="102" s="1"/>
  <c r="K3" i="100"/>
  <c r="B19" i="102" s="1"/>
  <c r="W3" i="100"/>
  <c r="B31" i="102" s="1"/>
  <c r="J32" i="95"/>
  <c r="Q3" i="97"/>
  <c r="B25" i="95" s="1"/>
  <c r="E3" i="88"/>
  <c r="B13" i="90" s="1"/>
  <c r="K3" i="88"/>
  <c r="B19" i="90" s="1"/>
  <c r="A2" i="111"/>
  <c r="T3" i="111" s="1"/>
  <c r="C3" i="113"/>
  <c r="B11" i="111" s="1"/>
  <c r="K3" i="113"/>
  <c r="B19" i="111" s="1"/>
  <c r="S3" i="113"/>
  <c r="B27" i="111" s="1"/>
  <c r="I5" i="114"/>
  <c r="I6" i="114" s="1"/>
  <c r="C5" i="114"/>
  <c r="C6" i="114" s="1"/>
  <c r="K5" i="114"/>
  <c r="K6" i="114" s="1"/>
  <c r="D5" i="114"/>
  <c r="D6" i="114" s="1"/>
  <c r="E10" i="114" s="1"/>
  <c r="L5" i="114"/>
  <c r="L6" i="114" s="1"/>
  <c r="J5" i="114"/>
  <c r="J6" i="114" s="1"/>
  <c r="E5" i="114"/>
  <c r="E6" i="114" s="1"/>
  <c r="M5" i="114"/>
  <c r="M6" i="114" s="1"/>
  <c r="F5" i="114"/>
  <c r="F6" i="114" s="1"/>
  <c r="N5" i="114"/>
  <c r="N6" i="114" s="1"/>
  <c r="G5" i="114"/>
  <c r="G6" i="114" s="1"/>
  <c r="O5" i="114"/>
  <c r="O6" i="114" s="1"/>
  <c r="H5" i="114"/>
  <c r="H6" i="114" s="1"/>
  <c r="P5" i="114"/>
  <c r="P6" i="114" s="1"/>
  <c r="B3" i="113"/>
  <c r="B10" i="111" s="1"/>
  <c r="J3" i="113"/>
  <c r="B18" i="111" s="1"/>
  <c r="R3" i="113"/>
  <c r="B26" i="111" s="1"/>
  <c r="D3" i="113"/>
  <c r="B12" i="111" s="1"/>
  <c r="L3" i="113"/>
  <c r="B20" i="111" s="1"/>
  <c r="T3" i="113"/>
  <c r="B28" i="111" s="1"/>
  <c r="E3" i="113"/>
  <c r="B13" i="111" s="1"/>
  <c r="M3" i="113"/>
  <c r="B21" i="111" s="1"/>
  <c r="U3" i="113"/>
  <c r="B29" i="111" s="1"/>
  <c r="F3" i="113"/>
  <c r="B14" i="111" s="1"/>
  <c r="N3" i="113"/>
  <c r="B22" i="111" s="1"/>
  <c r="V3" i="113"/>
  <c r="B30" i="111" s="1"/>
  <c r="G3" i="113"/>
  <c r="B15" i="111" s="1"/>
  <c r="O3" i="113"/>
  <c r="B23" i="111" s="1"/>
  <c r="J23" i="111" s="1"/>
  <c r="W3" i="113"/>
  <c r="B31" i="111" s="1"/>
  <c r="H3" i="113"/>
  <c r="B16" i="111" s="1"/>
  <c r="P3" i="113"/>
  <c r="B24" i="111" s="1"/>
  <c r="J24" i="111" s="1"/>
  <c r="X3" i="113"/>
  <c r="B32" i="111" s="1"/>
  <c r="A3" i="113"/>
  <c r="B9" i="111" s="1"/>
  <c r="I3" i="113"/>
  <c r="B17" i="111" s="1"/>
  <c r="Q3" i="113"/>
  <c r="B25" i="111" s="1"/>
  <c r="A2" i="107"/>
  <c r="M3" i="107" s="1"/>
  <c r="G3" i="109"/>
  <c r="B15" i="107" s="1"/>
  <c r="O3" i="109"/>
  <c r="B23" i="107" s="1"/>
  <c r="W3" i="109"/>
  <c r="B31" i="107" s="1"/>
  <c r="J31" i="107" s="1"/>
  <c r="G5" i="110"/>
  <c r="G6" i="110" s="1"/>
  <c r="O5" i="110"/>
  <c r="O6" i="110" s="1"/>
  <c r="I5" i="110"/>
  <c r="I6" i="110" s="1"/>
  <c r="C5" i="110"/>
  <c r="C6" i="110" s="1"/>
  <c r="K5" i="110"/>
  <c r="K6" i="110" s="1"/>
  <c r="J5" i="110"/>
  <c r="J6" i="110" s="1"/>
  <c r="D5" i="110"/>
  <c r="D6" i="110" s="1"/>
  <c r="E10" i="110" s="1"/>
  <c r="L5" i="110"/>
  <c r="L6" i="110" s="1"/>
  <c r="E5" i="110"/>
  <c r="E6" i="110" s="1"/>
  <c r="M5" i="110"/>
  <c r="M6" i="110" s="1"/>
  <c r="F5" i="110"/>
  <c r="F6" i="110" s="1"/>
  <c r="N5" i="110"/>
  <c r="N6" i="110" s="1"/>
  <c r="H5" i="110"/>
  <c r="H6" i="110" s="1"/>
  <c r="P5" i="110"/>
  <c r="P6" i="110" s="1"/>
  <c r="X3" i="109"/>
  <c r="B32" i="107" s="1"/>
  <c r="Y3" i="109"/>
  <c r="B33" i="107" s="1"/>
  <c r="B3" i="109"/>
  <c r="B10" i="107" s="1"/>
  <c r="J3" i="109"/>
  <c r="B18" i="107" s="1"/>
  <c r="R3" i="109"/>
  <c r="B26" i="107" s="1"/>
  <c r="J26" i="107" s="1"/>
  <c r="H3" i="109"/>
  <c r="B16" i="107" s="1"/>
  <c r="C3" i="109"/>
  <c r="B11" i="107" s="1"/>
  <c r="K3" i="109"/>
  <c r="B19" i="107" s="1"/>
  <c r="S3" i="109"/>
  <c r="B27" i="107" s="1"/>
  <c r="D3" i="109"/>
  <c r="B12" i="107" s="1"/>
  <c r="J12" i="107" s="1"/>
  <c r="L3" i="109"/>
  <c r="B20" i="107" s="1"/>
  <c r="T3" i="109"/>
  <c r="B28" i="107" s="1"/>
  <c r="E3" i="109"/>
  <c r="B13" i="107" s="1"/>
  <c r="M3" i="109"/>
  <c r="B21" i="107" s="1"/>
  <c r="U3" i="109"/>
  <c r="B29" i="107" s="1"/>
  <c r="F3" i="109"/>
  <c r="B14" i="107" s="1"/>
  <c r="N3" i="109"/>
  <c r="B22" i="107" s="1"/>
  <c r="V3" i="109"/>
  <c r="B30" i="107" s="1"/>
  <c r="P3" i="109"/>
  <c r="B24" i="107" s="1"/>
  <c r="J24" i="107" s="1"/>
  <c r="A3" i="109"/>
  <c r="B9" i="107" s="1"/>
  <c r="I3" i="109"/>
  <c r="B17" i="107" s="1"/>
  <c r="A2" i="106"/>
  <c r="U3" i="106" s="1"/>
  <c r="J31" i="106"/>
  <c r="H3" i="104"/>
  <c r="B16" i="106" s="1"/>
  <c r="P3" i="104"/>
  <c r="B24" i="106" s="1"/>
  <c r="X3" i="104"/>
  <c r="B32" i="106" s="1"/>
  <c r="A3" i="104"/>
  <c r="B9" i="106" s="1"/>
  <c r="I3" i="104"/>
  <c r="B17" i="106" s="1"/>
  <c r="Q3" i="104"/>
  <c r="B25" i="106" s="1"/>
  <c r="J25" i="106" s="1"/>
  <c r="Y3" i="104"/>
  <c r="B33" i="106" s="1"/>
  <c r="B3" i="104"/>
  <c r="B10" i="106" s="1"/>
  <c r="J3" i="104"/>
  <c r="B18" i="106" s="1"/>
  <c r="R3" i="104"/>
  <c r="B26" i="106" s="1"/>
  <c r="C3" i="104"/>
  <c r="B11" i="106" s="1"/>
  <c r="S3" i="104"/>
  <c r="B27" i="106" s="1"/>
  <c r="J27" i="106" s="1"/>
  <c r="D3" i="104"/>
  <c r="B12" i="106" s="1"/>
  <c r="J12" i="106" s="1"/>
  <c r="L3" i="104"/>
  <c r="B20" i="106" s="1"/>
  <c r="T3" i="104"/>
  <c r="B28" i="106" s="1"/>
  <c r="E3" i="104"/>
  <c r="B13" i="106" s="1"/>
  <c r="J13" i="106" s="1"/>
  <c r="M3" i="104"/>
  <c r="B21" i="106" s="1"/>
  <c r="U3" i="104"/>
  <c r="B29" i="106" s="1"/>
  <c r="K3" i="104"/>
  <c r="B19" i="106" s="1"/>
  <c r="F3" i="104"/>
  <c r="B14" i="106" s="1"/>
  <c r="N3" i="104"/>
  <c r="B22" i="106" s="1"/>
  <c r="J22" i="106" s="1"/>
  <c r="V3" i="104"/>
  <c r="B30" i="106" s="1"/>
  <c r="G3" i="104"/>
  <c r="B15" i="106" s="1"/>
  <c r="O3" i="104"/>
  <c r="B23" i="106" s="1"/>
  <c r="G5" i="103"/>
  <c r="G6" i="103" s="1"/>
  <c r="O5" i="103"/>
  <c r="O6" i="103" s="1"/>
  <c r="H5" i="103"/>
  <c r="H6" i="103" s="1"/>
  <c r="P5" i="103"/>
  <c r="P6" i="103" s="1"/>
  <c r="I5" i="103"/>
  <c r="I6" i="103" s="1"/>
  <c r="K6" i="103"/>
  <c r="J5" i="103"/>
  <c r="J6" i="103" s="1"/>
  <c r="C5" i="103"/>
  <c r="C6" i="103" s="1"/>
  <c r="K5" i="103"/>
  <c r="L5" i="103"/>
  <c r="L6" i="103" s="1"/>
  <c r="E5" i="103"/>
  <c r="E6" i="103" s="1"/>
  <c r="M5" i="103"/>
  <c r="M6" i="103" s="1"/>
  <c r="D5" i="103"/>
  <c r="D6" i="103" s="1"/>
  <c r="E10" i="103" s="1"/>
  <c r="F5" i="103"/>
  <c r="F6" i="103" s="1"/>
  <c r="N5" i="103"/>
  <c r="N6" i="103" s="1"/>
  <c r="A2" i="102"/>
  <c r="H3" i="102" s="1"/>
  <c r="O3" i="100"/>
  <c r="B23" i="102" s="1"/>
  <c r="J23" i="102" s="1"/>
  <c r="Q3" i="100"/>
  <c r="B25" i="102" s="1"/>
  <c r="J25" i="102" s="1"/>
  <c r="S3" i="100"/>
  <c r="B27" i="102" s="1"/>
  <c r="J27" i="102" s="1"/>
  <c r="C3" i="100"/>
  <c r="B11" i="102" s="1"/>
  <c r="Y3" i="100"/>
  <c r="B33" i="102" s="1"/>
  <c r="I3" i="100"/>
  <c r="B17" i="102" s="1"/>
  <c r="B3" i="100"/>
  <c r="B10" i="102" s="1"/>
  <c r="J3" i="100"/>
  <c r="B18" i="102" s="1"/>
  <c r="R3" i="100"/>
  <c r="B26" i="102" s="1"/>
  <c r="D3" i="100"/>
  <c r="B12" i="102" s="1"/>
  <c r="J12" i="102" s="1"/>
  <c r="L3" i="100"/>
  <c r="B20" i="102" s="1"/>
  <c r="T3" i="100"/>
  <c r="B28" i="102" s="1"/>
  <c r="J28" i="102" s="1"/>
  <c r="E3" i="100"/>
  <c r="B13" i="102" s="1"/>
  <c r="M3" i="100"/>
  <c r="B21" i="102" s="1"/>
  <c r="U3" i="100"/>
  <c r="B29" i="102" s="1"/>
  <c r="J29" i="102" s="1"/>
  <c r="F3" i="100"/>
  <c r="B14" i="102" s="1"/>
  <c r="N3" i="100"/>
  <c r="B22" i="102" s="1"/>
  <c r="J22" i="102" s="1"/>
  <c r="V3" i="100"/>
  <c r="B30" i="102" s="1"/>
  <c r="H3" i="100"/>
  <c r="B16" i="102" s="1"/>
  <c r="J16" i="102" s="1"/>
  <c r="P3" i="100"/>
  <c r="B24" i="102" s="1"/>
  <c r="G5" i="99"/>
  <c r="O5" i="99"/>
  <c r="O6" i="99" s="1"/>
  <c r="I5" i="99"/>
  <c r="I6" i="99" s="1"/>
  <c r="J5" i="99"/>
  <c r="J6" i="99" s="1"/>
  <c r="C5" i="99"/>
  <c r="C6" i="99" s="1"/>
  <c r="K5" i="99"/>
  <c r="K6" i="99" s="1"/>
  <c r="E5" i="99"/>
  <c r="E6" i="99" s="1"/>
  <c r="M5" i="99"/>
  <c r="M6" i="99" s="1"/>
  <c r="G6" i="99"/>
  <c r="D5" i="99"/>
  <c r="D6" i="99" s="1"/>
  <c r="E10" i="99" s="1"/>
  <c r="L5" i="99"/>
  <c r="L6" i="99" s="1"/>
  <c r="F5" i="99"/>
  <c r="F6" i="99" s="1"/>
  <c r="N5" i="99"/>
  <c r="N6" i="99" s="1"/>
  <c r="H5" i="99"/>
  <c r="H6" i="99" s="1"/>
  <c r="P5" i="99"/>
  <c r="P6" i="99" s="1"/>
  <c r="M3" i="97"/>
  <c r="B21" i="95" s="1"/>
  <c r="S3" i="97"/>
  <c r="B27" i="95" s="1"/>
  <c r="J27" i="95" s="1"/>
  <c r="A3" i="97"/>
  <c r="B9" i="95" s="1"/>
  <c r="U3" i="97"/>
  <c r="B29" i="95" s="1"/>
  <c r="C3" i="97"/>
  <c r="B11" i="95" s="1"/>
  <c r="Y3" i="97"/>
  <c r="B33" i="95" s="1"/>
  <c r="E3" i="97"/>
  <c r="B13" i="95" s="1"/>
  <c r="I3" i="97"/>
  <c r="B17" i="95" s="1"/>
  <c r="K3" i="97"/>
  <c r="B19" i="95" s="1"/>
  <c r="G5" i="98"/>
  <c r="G6" i="98" s="1"/>
  <c r="H5" i="98"/>
  <c r="I6" i="98"/>
  <c r="H6" i="98"/>
  <c r="L5" i="98"/>
  <c r="L6" i="98" s="1"/>
  <c r="C5" i="98"/>
  <c r="C6" i="98" s="1"/>
  <c r="M5" i="98"/>
  <c r="D5" i="98"/>
  <c r="D6" i="98" s="1"/>
  <c r="E10" i="98" s="1"/>
  <c r="O5" i="98"/>
  <c r="O6" i="98" s="1"/>
  <c r="J5" i="98"/>
  <c r="J6" i="98" s="1"/>
  <c r="M6" i="98"/>
  <c r="E8" i="98" s="1"/>
  <c r="F5" i="98"/>
  <c r="F6" i="98" s="1"/>
  <c r="N5" i="98"/>
  <c r="N6" i="98" s="1"/>
  <c r="B3" i="97"/>
  <c r="B10" i="95" s="1"/>
  <c r="J3" i="97"/>
  <c r="B18" i="95" s="1"/>
  <c r="R3" i="97"/>
  <c r="B26" i="95" s="1"/>
  <c r="D3" i="97"/>
  <c r="B12" i="95" s="1"/>
  <c r="L3" i="97"/>
  <c r="B20" i="95" s="1"/>
  <c r="T3" i="97"/>
  <c r="B28" i="95" s="1"/>
  <c r="J28" i="95" s="1"/>
  <c r="F3" i="97"/>
  <c r="B14" i="95" s="1"/>
  <c r="N3" i="97"/>
  <c r="B22" i="95" s="1"/>
  <c r="V3" i="97"/>
  <c r="B30" i="95" s="1"/>
  <c r="G3" i="97"/>
  <c r="B15" i="95" s="1"/>
  <c r="J15" i="95" s="1"/>
  <c r="O3" i="97"/>
  <c r="B23" i="95" s="1"/>
  <c r="W3" i="97"/>
  <c r="B31" i="95" s="1"/>
  <c r="H3" i="97"/>
  <c r="B16" i="95" s="1"/>
  <c r="P3" i="97"/>
  <c r="B24" i="95" s="1"/>
  <c r="A2" i="95"/>
  <c r="I3" i="95" s="1"/>
  <c r="A2" i="94"/>
  <c r="D3" i="94" s="1"/>
  <c r="B3" i="92"/>
  <c r="B10" i="94" s="1"/>
  <c r="J3" i="92"/>
  <c r="B18" i="94" s="1"/>
  <c r="R3" i="92"/>
  <c r="B26" i="94" s="1"/>
  <c r="J26" i="94" s="1"/>
  <c r="C3" i="92"/>
  <c r="B11" i="94" s="1"/>
  <c r="K3" i="92"/>
  <c r="B19" i="94" s="1"/>
  <c r="S3" i="92"/>
  <c r="B27" i="94" s="1"/>
  <c r="D3" i="92"/>
  <c r="B12" i="94" s="1"/>
  <c r="L3" i="92"/>
  <c r="B20" i="94" s="1"/>
  <c r="T3" i="92"/>
  <c r="B28" i="94" s="1"/>
  <c r="M3" i="92"/>
  <c r="B21" i="94" s="1"/>
  <c r="U3" i="92"/>
  <c r="B29" i="94" s="1"/>
  <c r="J29" i="94" s="1"/>
  <c r="F3" i="92"/>
  <c r="B14" i="94" s="1"/>
  <c r="N3" i="92"/>
  <c r="B22" i="94" s="1"/>
  <c r="V3" i="92"/>
  <c r="B30" i="94" s="1"/>
  <c r="E3" i="92"/>
  <c r="B13" i="94" s="1"/>
  <c r="G3" i="92"/>
  <c r="B15" i="94" s="1"/>
  <c r="J15" i="94" s="1"/>
  <c r="O3" i="92"/>
  <c r="B23" i="94" s="1"/>
  <c r="W3" i="92"/>
  <c r="B31" i="94" s="1"/>
  <c r="P3" i="92"/>
  <c r="B24" i="94" s="1"/>
  <c r="X3" i="92"/>
  <c r="B32" i="94" s="1"/>
  <c r="J32" i="94" s="1"/>
  <c r="H3" i="92"/>
  <c r="B16" i="94" s="1"/>
  <c r="J16" i="94" s="1"/>
  <c r="A3" i="92"/>
  <c r="B9" i="94" s="1"/>
  <c r="I3" i="92"/>
  <c r="B17" i="94" s="1"/>
  <c r="Q3" i="92"/>
  <c r="B25" i="94" s="1"/>
  <c r="J25" i="94" s="1"/>
  <c r="J5" i="91"/>
  <c r="J6" i="91" s="1"/>
  <c r="E9" i="91" s="1"/>
  <c r="G5" i="91"/>
  <c r="G6" i="91" s="1"/>
  <c r="O5" i="91"/>
  <c r="O6" i="91" s="1"/>
  <c r="J7" i="91" s="1"/>
  <c r="I5" i="91"/>
  <c r="I6" i="91" s="1"/>
  <c r="D5" i="91"/>
  <c r="D6" i="91" s="1"/>
  <c r="E10" i="91" s="1"/>
  <c r="L5" i="91"/>
  <c r="L6" i="91" s="1"/>
  <c r="C5" i="91"/>
  <c r="C6" i="91" s="1"/>
  <c r="E5" i="91"/>
  <c r="E6" i="91" s="1"/>
  <c r="M5" i="91"/>
  <c r="M6" i="91" s="1"/>
  <c r="K5" i="91"/>
  <c r="K6" i="91" s="1"/>
  <c r="F5" i="91"/>
  <c r="F6" i="91" s="1"/>
  <c r="N5" i="91"/>
  <c r="N6" i="91" s="1"/>
  <c r="H5" i="91"/>
  <c r="H6" i="91" s="1"/>
  <c r="P5" i="91"/>
  <c r="P6" i="91" s="1"/>
  <c r="A2" i="90"/>
  <c r="D3" i="90" s="1"/>
  <c r="D3" i="88"/>
  <c r="B12" i="90" s="1"/>
  <c r="L3" i="88"/>
  <c r="B20" i="90" s="1"/>
  <c r="M3" i="88"/>
  <c r="B21" i="90" s="1"/>
  <c r="S3" i="88"/>
  <c r="B27" i="90" s="1"/>
  <c r="J27" i="90" s="1"/>
  <c r="T3" i="88"/>
  <c r="B28" i="90" s="1"/>
  <c r="C3" i="88"/>
  <c r="B11" i="90" s="1"/>
  <c r="U3" i="88"/>
  <c r="B29" i="90" s="1"/>
  <c r="B3" i="88"/>
  <c r="B10" i="90" s="1"/>
  <c r="J3" i="88"/>
  <c r="B18" i="90" s="1"/>
  <c r="R3" i="88"/>
  <c r="B26" i="90" s="1"/>
  <c r="F3" i="88"/>
  <c r="B14" i="90" s="1"/>
  <c r="N3" i="88"/>
  <c r="B22" i="90" s="1"/>
  <c r="V3" i="88"/>
  <c r="B30" i="90" s="1"/>
  <c r="G3" i="88"/>
  <c r="B15" i="90" s="1"/>
  <c r="J15" i="90" s="1"/>
  <c r="O3" i="88"/>
  <c r="B23" i="90" s="1"/>
  <c r="J23" i="90" s="1"/>
  <c r="W3" i="88"/>
  <c r="B31" i="90" s="1"/>
  <c r="H3" i="88"/>
  <c r="B16" i="90" s="1"/>
  <c r="J16" i="90" s="1"/>
  <c r="P3" i="88"/>
  <c r="B24" i="90" s="1"/>
  <c r="X3" i="88"/>
  <c r="B32" i="90" s="1"/>
  <c r="J32" i="90" s="1"/>
  <c r="A3" i="88"/>
  <c r="B9" i="90" s="1"/>
  <c r="I3" i="88"/>
  <c r="B17" i="90" s="1"/>
  <c r="Q3" i="88"/>
  <c r="B25" i="90" s="1"/>
  <c r="J25" i="90" s="1"/>
  <c r="I6" i="87"/>
  <c r="H5" i="87"/>
  <c r="H6" i="87" s="1"/>
  <c r="P5" i="87"/>
  <c r="P6" i="87" s="1"/>
  <c r="I5" i="87"/>
  <c r="K5" i="87"/>
  <c r="K6" i="87" s="1"/>
  <c r="E8" i="87" s="1"/>
  <c r="L5" i="87"/>
  <c r="L6" i="87" s="1"/>
  <c r="E5" i="87"/>
  <c r="E6" i="87" s="1"/>
  <c r="M5" i="87"/>
  <c r="J5" i="87"/>
  <c r="J6" i="87" s="1"/>
  <c r="C5" i="87"/>
  <c r="C6" i="87" s="1"/>
  <c r="D5" i="87"/>
  <c r="D6" i="87" s="1"/>
  <c r="E10" i="87" s="1"/>
  <c r="F5" i="87"/>
  <c r="F6" i="87" s="1"/>
  <c r="N5" i="87"/>
  <c r="N6" i="87" s="1"/>
  <c r="M6" i="87"/>
  <c r="G5" i="87"/>
  <c r="G6" i="87" s="1"/>
  <c r="O5" i="87"/>
  <c r="O6" i="87" s="1"/>
  <c r="J31" i="102" l="1"/>
  <c r="J32" i="111"/>
  <c r="J30" i="107"/>
  <c r="B34" i="111"/>
  <c r="J31" i="111"/>
  <c r="J15" i="111"/>
  <c r="J29" i="111"/>
  <c r="J22" i="111"/>
  <c r="J13" i="111"/>
  <c r="J30" i="111"/>
  <c r="J28" i="111"/>
  <c r="J25" i="111"/>
  <c r="J12" i="111"/>
  <c r="J26" i="111"/>
  <c r="J16" i="111"/>
  <c r="J27" i="111"/>
  <c r="J23" i="107"/>
  <c r="J13" i="107"/>
  <c r="J27" i="107"/>
  <c r="J28" i="107"/>
  <c r="B34" i="107"/>
  <c r="J16" i="107"/>
  <c r="J32" i="107"/>
  <c r="J22" i="107"/>
  <c r="J29" i="107"/>
  <c r="J15" i="107"/>
  <c r="B34" i="106"/>
  <c r="J32" i="106"/>
  <c r="J26" i="106"/>
  <c r="J29" i="106"/>
  <c r="J24" i="106"/>
  <c r="J30" i="106"/>
  <c r="J16" i="106"/>
  <c r="J15" i="106"/>
  <c r="J28" i="106"/>
  <c r="J23" i="106"/>
  <c r="B34" i="102"/>
  <c r="J13" i="102"/>
  <c r="J24" i="102"/>
  <c r="J26" i="102"/>
  <c r="J30" i="102"/>
  <c r="B34" i="95"/>
  <c r="J29" i="95"/>
  <c r="J16" i="95"/>
  <c r="J31" i="95"/>
  <c r="J24" i="95"/>
  <c r="J26" i="95"/>
  <c r="J30" i="95"/>
  <c r="J25" i="95"/>
  <c r="B34" i="94"/>
  <c r="J31" i="94"/>
  <c r="J30" i="94"/>
  <c r="J23" i="94"/>
  <c r="J27" i="94"/>
  <c r="B34" i="90"/>
  <c r="J30" i="90"/>
  <c r="J31" i="90"/>
  <c r="J26" i="90"/>
  <c r="J29" i="90"/>
  <c r="P3" i="102"/>
  <c r="C3" i="111"/>
  <c r="E3" i="107"/>
  <c r="Y3" i="111"/>
  <c r="A3" i="107"/>
  <c r="V3" i="111"/>
  <c r="H3" i="111"/>
  <c r="B3" i="111"/>
  <c r="M3" i="111"/>
  <c r="D3" i="111"/>
  <c r="W3" i="111"/>
  <c r="K3" i="111"/>
  <c r="U3" i="111"/>
  <c r="O3" i="111"/>
  <c r="R3" i="111"/>
  <c r="G3" i="111"/>
  <c r="N3" i="111"/>
  <c r="S3" i="111"/>
  <c r="J3" i="111"/>
  <c r="A3" i="111"/>
  <c r="F3" i="111"/>
  <c r="Q3" i="111"/>
  <c r="X3" i="111"/>
  <c r="L3" i="111"/>
  <c r="E3" i="111"/>
  <c r="I3" i="111"/>
  <c r="P3" i="111"/>
  <c r="S3" i="107"/>
  <c r="E8" i="114"/>
  <c r="E9" i="114"/>
  <c r="J7" i="114"/>
  <c r="E7" i="114"/>
  <c r="W3" i="107"/>
  <c r="W3" i="102"/>
  <c r="G3" i="94"/>
  <c r="Q3" i="107"/>
  <c r="R3" i="107"/>
  <c r="B3" i="107"/>
  <c r="O3" i="102"/>
  <c r="L3" i="107"/>
  <c r="Y3" i="107"/>
  <c r="X3" i="107"/>
  <c r="V3" i="107"/>
  <c r="H3" i="107"/>
  <c r="N3" i="107"/>
  <c r="C3" i="107"/>
  <c r="J3" i="107"/>
  <c r="P3" i="107"/>
  <c r="I3" i="107"/>
  <c r="D3" i="107"/>
  <c r="F3" i="107"/>
  <c r="K3" i="107"/>
  <c r="T3" i="107"/>
  <c r="U3" i="107"/>
  <c r="O3" i="107"/>
  <c r="G3" i="107"/>
  <c r="A3" i="102"/>
  <c r="E8" i="110"/>
  <c r="E7" i="110"/>
  <c r="E9" i="110"/>
  <c r="E11" i="110" s="1"/>
  <c r="J7" i="110"/>
  <c r="X3" i="102"/>
  <c r="M3" i="94"/>
  <c r="K3" i="94"/>
  <c r="V3" i="102"/>
  <c r="Q3" i="94"/>
  <c r="F3" i="102"/>
  <c r="Y3" i="106"/>
  <c r="M3" i="106"/>
  <c r="Q3" i="106"/>
  <c r="E3" i="106"/>
  <c r="I3" i="106"/>
  <c r="V3" i="106"/>
  <c r="H3" i="106"/>
  <c r="W3" i="106"/>
  <c r="O3" i="106"/>
  <c r="G3" i="106"/>
  <c r="D3" i="106"/>
  <c r="T3" i="106"/>
  <c r="L3" i="106"/>
  <c r="R3" i="106"/>
  <c r="J3" i="106"/>
  <c r="B3" i="106"/>
  <c r="A3" i="106"/>
  <c r="X3" i="106"/>
  <c r="P3" i="106"/>
  <c r="S3" i="106"/>
  <c r="N3" i="106"/>
  <c r="F3" i="106"/>
  <c r="K3" i="106"/>
  <c r="C3" i="106"/>
  <c r="E8" i="103"/>
  <c r="E9" i="103"/>
  <c r="J7" i="103"/>
  <c r="E7" i="103"/>
  <c r="M3" i="102"/>
  <c r="C3" i="102"/>
  <c r="L3" i="102"/>
  <c r="D3" i="102"/>
  <c r="B3" i="102"/>
  <c r="M3" i="95"/>
  <c r="J3" i="95"/>
  <c r="U3" i="102"/>
  <c r="G3" i="102"/>
  <c r="X3" i="95"/>
  <c r="F3" i="95"/>
  <c r="S3" i="102"/>
  <c r="Y3" i="102"/>
  <c r="U3" i="95"/>
  <c r="V3" i="95"/>
  <c r="E3" i="102"/>
  <c r="J3" i="102"/>
  <c r="Q3" i="102"/>
  <c r="P3" i="95"/>
  <c r="E3" i="95"/>
  <c r="N3" i="95"/>
  <c r="R3" i="102"/>
  <c r="I3" i="102"/>
  <c r="B3" i="95"/>
  <c r="Y3" i="95"/>
  <c r="N3" i="102"/>
  <c r="K3" i="102"/>
  <c r="T3" i="102"/>
  <c r="Q3" i="95"/>
  <c r="E8" i="99"/>
  <c r="E9" i="99"/>
  <c r="J7" i="99"/>
  <c r="E7" i="99"/>
  <c r="E7" i="98"/>
  <c r="E11" i="98" s="1"/>
  <c r="E9" i="98"/>
  <c r="J7" i="98"/>
  <c r="W3" i="95"/>
  <c r="L3" i="95"/>
  <c r="T3" i="95"/>
  <c r="D3" i="95"/>
  <c r="S3" i="95"/>
  <c r="K3" i="95"/>
  <c r="C3" i="95"/>
  <c r="A3" i="95"/>
  <c r="G3" i="95"/>
  <c r="O3" i="95"/>
  <c r="R3" i="95"/>
  <c r="H3" i="95"/>
  <c r="I3" i="94"/>
  <c r="N3" i="94"/>
  <c r="E3" i="94"/>
  <c r="J3" i="94"/>
  <c r="T3" i="94"/>
  <c r="Y3" i="94"/>
  <c r="V3" i="94"/>
  <c r="S3" i="94"/>
  <c r="R3" i="94"/>
  <c r="B3" i="94"/>
  <c r="X3" i="94"/>
  <c r="F3" i="94"/>
  <c r="C3" i="94"/>
  <c r="W3" i="94"/>
  <c r="P3" i="94"/>
  <c r="U3" i="94"/>
  <c r="A3" i="94"/>
  <c r="O3" i="94"/>
  <c r="H3" i="94"/>
  <c r="L3" i="94"/>
  <c r="K3" i="90"/>
  <c r="H3" i="90"/>
  <c r="J3" i="90"/>
  <c r="P3" i="90"/>
  <c r="Y3" i="90"/>
  <c r="N3" i="90"/>
  <c r="X3" i="90"/>
  <c r="Q3" i="90"/>
  <c r="A3" i="90"/>
  <c r="I3" i="90"/>
  <c r="U3" i="90"/>
  <c r="B3" i="90"/>
  <c r="W3" i="90"/>
  <c r="M3" i="90"/>
  <c r="R3" i="90"/>
  <c r="O3" i="90"/>
  <c r="C3" i="90"/>
  <c r="E3" i="90"/>
  <c r="F3" i="90"/>
  <c r="G3" i="90"/>
  <c r="S3" i="90"/>
  <c r="V3" i="90"/>
  <c r="L3" i="90"/>
  <c r="E7" i="91"/>
  <c r="E8" i="91"/>
  <c r="E11" i="91" s="1"/>
  <c r="T3" i="90"/>
  <c r="E7" i="87"/>
  <c r="E9" i="87"/>
  <c r="J7" i="87"/>
  <c r="E11" i="114" l="1"/>
  <c r="E11" i="87"/>
  <c r="E11" i="103"/>
  <c r="E11" i="99"/>
  <c r="G18" i="86" l="1"/>
  <c r="C18" i="86"/>
  <c r="G17" i="86"/>
  <c r="C17" i="86"/>
  <c r="G16" i="86"/>
  <c r="C16" i="86"/>
  <c r="G11" i="86"/>
  <c r="C10" i="86"/>
  <c r="C9" i="86"/>
  <c r="C8" i="86"/>
  <c r="C7" i="86"/>
  <c r="Q6" i="86"/>
  <c r="B4" i="86"/>
  <c r="K2" i="86"/>
  <c r="J2" i="86"/>
  <c r="C2" i="86"/>
  <c r="B2" i="86" s="1"/>
  <c r="A2" i="85"/>
  <c r="V3" i="85" s="1"/>
  <c r="Y2" i="84"/>
  <c r="X2" i="84"/>
  <c r="W2" i="84"/>
  <c r="V2" i="84"/>
  <c r="U2" i="84"/>
  <c r="T2" i="84"/>
  <c r="S2" i="84"/>
  <c r="R2" i="84"/>
  <c r="Q2" i="84"/>
  <c r="P2" i="84"/>
  <c r="O2" i="84"/>
  <c r="N2" i="84"/>
  <c r="H2" i="84"/>
  <c r="G2" i="84"/>
  <c r="E2" i="84"/>
  <c r="O14" i="83"/>
  <c r="I14" i="83"/>
  <c r="H14" i="83"/>
  <c r="F14" i="83"/>
  <c r="E14" i="83"/>
  <c r="B2" i="83"/>
  <c r="E1" i="83"/>
  <c r="B6" i="82"/>
  <c r="Y2" i="82"/>
  <c r="X2" i="82"/>
  <c r="W2" i="82"/>
  <c r="V2" i="82"/>
  <c r="U2" i="82"/>
  <c r="T2" i="82"/>
  <c r="S2" i="82"/>
  <c r="R2" i="82"/>
  <c r="Q2" i="82"/>
  <c r="P2" i="82"/>
  <c r="O2" i="82"/>
  <c r="N2" i="82"/>
  <c r="M2" i="82"/>
  <c r="L2" i="82"/>
  <c r="K2" i="82"/>
  <c r="J2" i="82"/>
  <c r="I2" i="82"/>
  <c r="H2" i="82"/>
  <c r="G2" i="82"/>
  <c r="F2" i="82"/>
  <c r="E2" i="82"/>
  <c r="D2" i="82"/>
  <c r="C2" i="82"/>
  <c r="B2" i="82"/>
  <c r="B30" i="82" l="1"/>
  <c r="J30" i="82" s="1"/>
  <c r="V8" i="85"/>
  <c r="H5" i="86"/>
  <c r="P5" i="86"/>
  <c r="P6" i="86" s="1"/>
  <c r="I5" i="86"/>
  <c r="I6" i="86" s="1"/>
  <c r="J5" i="86"/>
  <c r="J6" i="86" s="1"/>
  <c r="D5" i="86"/>
  <c r="D6" i="86" s="1"/>
  <c r="E10" i="86" s="1"/>
  <c r="L5" i="86"/>
  <c r="L6" i="86" s="1"/>
  <c r="E5" i="86"/>
  <c r="M5" i="86"/>
  <c r="M6" i="86" s="1"/>
  <c r="G6" i="86"/>
  <c r="C5" i="86"/>
  <c r="C6" i="86" s="1"/>
  <c r="F5" i="86"/>
  <c r="F6" i="86" s="1"/>
  <c r="N5" i="86"/>
  <c r="N6" i="86" s="1"/>
  <c r="H6" i="86"/>
  <c r="K5" i="86"/>
  <c r="K6" i="86" s="1"/>
  <c r="E6" i="86"/>
  <c r="G5" i="86"/>
  <c r="O5" i="86"/>
  <c r="O6" i="86" s="1"/>
  <c r="X3" i="85"/>
  <c r="A3" i="85"/>
  <c r="B9" i="82" s="1"/>
  <c r="I3" i="85"/>
  <c r="Q3" i="85"/>
  <c r="Y3" i="85"/>
  <c r="B3" i="85"/>
  <c r="J3" i="85"/>
  <c r="R3" i="85"/>
  <c r="G3" i="85"/>
  <c r="H3" i="85"/>
  <c r="C3" i="85"/>
  <c r="K3" i="85"/>
  <c r="S3" i="85"/>
  <c r="D3" i="85"/>
  <c r="L3" i="85"/>
  <c r="T3" i="85"/>
  <c r="O3" i="85"/>
  <c r="W3" i="85"/>
  <c r="P3" i="85"/>
  <c r="E3" i="85"/>
  <c r="M3" i="85"/>
  <c r="U3" i="85"/>
  <c r="F3" i="85"/>
  <c r="N3" i="85"/>
  <c r="A2" i="82"/>
  <c r="M3" i="82" s="1"/>
  <c r="B16" i="82" l="1"/>
  <c r="H8" i="85"/>
  <c r="B14" i="82"/>
  <c r="F8" i="85"/>
  <c r="B25" i="82"/>
  <c r="J25" i="82" s="1"/>
  <c r="Q8" i="85"/>
  <c r="B11" i="82"/>
  <c r="C8" i="85"/>
  <c r="B15" i="82"/>
  <c r="J15" i="82" s="1"/>
  <c r="G8" i="85"/>
  <c r="B33" i="82"/>
  <c r="Y8" i="85"/>
  <c r="B23" i="82"/>
  <c r="O8" i="85"/>
  <c r="B18" i="82"/>
  <c r="J8" i="85"/>
  <c r="B29" i="82"/>
  <c r="U8" i="85"/>
  <c r="B24" i="82"/>
  <c r="P8" i="85"/>
  <c r="B28" i="82"/>
  <c r="T8" i="85"/>
  <c r="B21" i="82"/>
  <c r="M8" i="85"/>
  <c r="B19" i="82"/>
  <c r="K8" i="85"/>
  <c r="B26" i="82"/>
  <c r="J26" i="82" s="1"/>
  <c r="R8" i="85"/>
  <c r="B10" i="82"/>
  <c r="B8" i="85"/>
  <c r="B17" i="82"/>
  <c r="I8" i="85"/>
  <c r="B32" i="82"/>
  <c r="X8" i="85"/>
  <c r="B12" i="82"/>
  <c r="D8" i="85"/>
  <c r="B22" i="82"/>
  <c r="N8" i="85"/>
  <c r="E8" i="85"/>
  <c r="B13" i="82"/>
  <c r="B31" i="82"/>
  <c r="W8" i="85"/>
  <c r="B20" i="82"/>
  <c r="L8" i="85"/>
  <c r="B27" i="82"/>
  <c r="S8" i="85"/>
  <c r="J32" i="82"/>
  <c r="J16" i="82"/>
  <c r="J29" i="82"/>
  <c r="P3" i="82"/>
  <c r="N3" i="82"/>
  <c r="L3" i="82"/>
  <c r="E3" i="82"/>
  <c r="Y3" i="82"/>
  <c r="J7" i="86"/>
  <c r="E9" i="86"/>
  <c r="E8" i="86"/>
  <c r="E7" i="86"/>
  <c r="F3" i="82"/>
  <c r="D3" i="82"/>
  <c r="H3" i="82"/>
  <c r="K3" i="82"/>
  <c r="C3" i="82"/>
  <c r="O3" i="82"/>
  <c r="S3" i="82"/>
  <c r="R3" i="82"/>
  <c r="J3" i="82"/>
  <c r="B3" i="82"/>
  <c r="W3" i="82"/>
  <c r="A3" i="82"/>
  <c r="G3" i="82"/>
  <c r="T3" i="82"/>
  <c r="Q3" i="82"/>
  <c r="I3" i="82"/>
  <c r="V3" i="82"/>
  <c r="U3" i="82"/>
  <c r="X3" i="82"/>
  <c r="B34" i="82" l="1"/>
  <c r="J23" i="82"/>
  <c r="A8" i="85"/>
  <c r="Y9" i="85" s="1"/>
  <c r="J31" i="82"/>
  <c r="J27" i="82"/>
  <c r="E11" i="86"/>
  <c r="W9" i="85" l="1"/>
  <c r="E9" i="85"/>
  <c r="N9" i="85"/>
  <c r="T9" i="85"/>
  <c r="M9" i="85"/>
  <c r="H9" i="85"/>
  <c r="X9" i="85"/>
  <c r="O9" i="85"/>
  <c r="U9" i="85"/>
  <c r="G9" i="85"/>
  <c r="P9" i="85"/>
  <c r="C9" i="85"/>
  <c r="Q10" i="85" s="1"/>
  <c r="D9" i="85"/>
  <c r="K9" i="85"/>
  <c r="Y10" i="85" s="1"/>
  <c r="B9" i="85"/>
  <c r="L9" i="85"/>
  <c r="J9" i="85"/>
  <c r="R9" i="85"/>
  <c r="A9" i="85"/>
  <c r="V9" i="85"/>
  <c r="Q9" i="85"/>
  <c r="S9" i="85"/>
  <c r="S10" i="85" s="1"/>
  <c r="F9" i="85"/>
  <c r="I9" i="85"/>
  <c r="B6" i="59"/>
  <c r="B6" i="50"/>
  <c r="B6" i="49"/>
  <c r="D2" i="63"/>
  <c r="G2" i="63"/>
  <c r="H2" i="63"/>
  <c r="N2" i="63"/>
  <c r="O2" i="63"/>
  <c r="P2" i="63"/>
  <c r="Q2" i="63"/>
  <c r="R2" i="63"/>
  <c r="S2" i="63"/>
  <c r="T2" i="63"/>
  <c r="U2" i="63"/>
  <c r="V2" i="63"/>
  <c r="W2" i="63"/>
  <c r="X2" i="63"/>
  <c r="Y2" i="63"/>
  <c r="G18" i="67"/>
  <c r="C18" i="67"/>
  <c r="G17" i="67"/>
  <c r="C17" i="67"/>
  <c r="G16" i="67"/>
  <c r="C16" i="67"/>
  <c r="G11" i="67"/>
  <c r="C10" i="67"/>
  <c r="C9" i="67"/>
  <c r="C8" i="67"/>
  <c r="C7" i="67"/>
  <c r="Q6" i="67"/>
  <c r="B4" i="67"/>
  <c r="K2" i="67"/>
  <c r="J2" i="67"/>
  <c r="C2" i="67"/>
  <c r="B2" i="67" s="1"/>
  <c r="G18" i="66"/>
  <c r="C18" i="66"/>
  <c r="G17" i="66"/>
  <c r="C17" i="66"/>
  <c r="G16" i="66"/>
  <c r="C16" i="66"/>
  <c r="G11" i="66"/>
  <c r="C10" i="66"/>
  <c r="C9" i="66"/>
  <c r="C8" i="66"/>
  <c r="C7" i="66"/>
  <c r="Q6" i="66"/>
  <c r="B4" i="66"/>
  <c r="K2" i="66"/>
  <c r="J2" i="66"/>
  <c r="C2" i="66"/>
  <c r="A2" i="65"/>
  <c r="X3" i="65" s="1"/>
  <c r="B32" i="59" s="1"/>
  <c r="A2" i="64"/>
  <c r="Y3" i="64" s="1"/>
  <c r="B33" i="281" s="1"/>
  <c r="O14" i="61"/>
  <c r="I14" i="61"/>
  <c r="H14" i="61"/>
  <c r="F14" i="61"/>
  <c r="E14" i="61"/>
  <c r="B2" i="61"/>
  <c r="E1" i="61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B2" i="59"/>
  <c r="D7" i="45"/>
  <c r="B2" i="66" l="1"/>
  <c r="T10" i="85"/>
  <c r="T11" i="85"/>
  <c r="U10" i="85"/>
  <c r="U11" i="85" s="1"/>
  <c r="Q11" i="85"/>
  <c r="V10" i="85"/>
  <c r="V11" i="85" s="1"/>
  <c r="B15" i="85"/>
  <c r="Y11" i="85"/>
  <c r="X10" i="85"/>
  <c r="X11" i="85" s="1"/>
  <c r="P10" i="85"/>
  <c r="P11" i="85" s="1"/>
  <c r="R10" i="85"/>
  <c r="R11" i="85" s="1"/>
  <c r="S11" i="85"/>
  <c r="J10" i="85"/>
  <c r="J11" i="85" s="1"/>
  <c r="I10" i="85"/>
  <c r="I11" i="85" s="1"/>
  <c r="H10" i="85"/>
  <c r="H11" i="85" s="1"/>
  <c r="E10" i="85"/>
  <c r="E11" i="85" s="1"/>
  <c r="L10" i="85"/>
  <c r="L11" i="85" s="1"/>
  <c r="G10" i="85"/>
  <c r="G11" i="85" s="1"/>
  <c r="F10" i="85"/>
  <c r="F11" i="85" s="1"/>
  <c r="C10" i="85"/>
  <c r="C11" i="85" s="1"/>
  <c r="D15" i="85" s="1"/>
  <c r="O10" i="85"/>
  <c r="O11" i="85" s="1"/>
  <c r="N10" i="85"/>
  <c r="N11" i="85" s="1"/>
  <c r="K10" i="85"/>
  <c r="K11" i="85" s="1"/>
  <c r="D10" i="85"/>
  <c r="D11" i="85" s="1"/>
  <c r="B10" i="85"/>
  <c r="B11" i="85" s="1"/>
  <c r="M10" i="85"/>
  <c r="M11" i="85" s="1"/>
  <c r="W10" i="85"/>
  <c r="W11" i="85" s="1"/>
  <c r="B14" i="85"/>
  <c r="J32" i="59"/>
  <c r="A2" i="59"/>
  <c r="O3" i="59" s="1"/>
  <c r="C3" i="65"/>
  <c r="B11" i="59" s="1"/>
  <c r="Q3" i="65"/>
  <c r="B25" i="59" s="1"/>
  <c r="J25" i="59" s="1"/>
  <c r="Y3" i="65"/>
  <c r="B33" i="59" s="1"/>
  <c r="D3" i="65"/>
  <c r="B12" i="59" s="1"/>
  <c r="I3" i="65"/>
  <c r="B17" i="59" s="1"/>
  <c r="K3" i="65"/>
  <c r="B19" i="59" s="1"/>
  <c r="L3" i="65"/>
  <c r="B20" i="59" s="1"/>
  <c r="S3" i="65"/>
  <c r="B27" i="59" s="1"/>
  <c r="J27" i="59" s="1"/>
  <c r="A3" i="65"/>
  <c r="B9" i="59" s="1"/>
  <c r="T3" i="65"/>
  <c r="B28" i="59" s="1"/>
  <c r="I5" i="67"/>
  <c r="I6" i="67" s="1"/>
  <c r="J5" i="67"/>
  <c r="J6" i="67" s="1"/>
  <c r="C5" i="67"/>
  <c r="C6" i="67" s="1"/>
  <c r="K5" i="67"/>
  <c r="K6" i="67" s="1"/>
  <c r="D5" i="67"/>
  <c r="D6" i="67" s="1"/>
  <c r="E10" i="67" s="1"/>
  <c r="L5" i="67"/>
  <c r="L6" i="67" s="1"/>
  <c r="E5" i="67"/>
  <c r="E6" i="67" s="1"/>
  <c r="M5" i="67"/>
  <c r="M6" i="67" s="1"/>
  <c r="F5" i="67"/>
  <c r="F6" i="67" s="1"/>
  <c r="N5" i="67"/>
  <c r="N6" i="67" s="1"/>
  <c r="G5" i="67"/>
  <c r="G6" i="67" s="1"/>
  <c r="O5" i="67"/>
  <c r="O6" i="67" s="1"/>
  <c r="H5" i="67"/>
  <c r="H6" i="67" s="1"/>
  <c r="P5" i="67"/>
  <c r="P6" i="67" s="1"/>
  <c r="I5" i="66"/>
  <c r="I6" i="66" s="1"/>
  <c r="C5" i="66"/>
  <c r="C6" i="66" s="1"/>
  <c r="K5" i="66"/>
  <c r="K6" i="66" s="1"/>
  <c r="E6" i="66"/>
  <c r="D5" i="66"/>
  <c r="L5" i="66"/>
  <c r="L6" i="66" s="1"/>
  <c r="E5" i="66"/>
  <c r="M5" i="66"/>
  <c r="M6" i="66" s="1"/>
  <c r="J5" i="66"/>
  <c r="J6" i="66" s="1"/>
  <c r="F5" i="66"/>
  <c r="F6" i="66" s="1"/>
  <c r="N5" i="66"/>
  <c r="N6" i="66" s="1"/>
  <c r="D6" i="66"/>
  <c r="E10" i="66" s="1"/>
  <c r="G5" i="66"/>
  <c r="G6" i="66" s="1"/>
  <c r="O5" i="66"/>
  <c r="O6" i="66" s="1"/>
  <c r="H5" i="66"/>
  <c r="H6" i="66" s="1"/>
  <c r="P5" i="66"/>
  <c r="P6" i="66" s="1"/>
  <c r="B3" i="65"/>
  <c r="B10" i="59" s="1"/>
  <c r="J3" i="65"/>
  <c r="B18" i="59" s="1"/>
  <c r="R3" i="65"/>
  <c r="B26" i="59" s="1"/>
  <c r="E3" i="65"/>
  <c r="B13" i="59" s="1"/>
  <c r="M3" i="65"/>
  <c r="B21" i="59" s="1"/>
  <c r="U3" i="65"/>
  <c r="B29" i="59" s="1"/>
  <c r="J29" i="59" s="1"/>
  <c r="F3" i="65"/>
  <c r="B14" i="59" s="1"/>
  <c r="N3" i="65"/>
  <c r="B22" i="59" s="1"/>
  <c r="V3" i="65"/>
  <c r="B30" i="59" s="1"/>
  <c r="G3" i="65"/>
  <c r="B15" i="59" s="1"/>
  <c r="O3" i="65"/>
  <c r="B23" i="59" s="1"/>
  <c r="W3" i="65"/>
  <c r="B31" i="59" s="1"/>
  <c r="H3" i="65"/>
  <c r="B16" i="59" s="1"/>
  <c r="P3" i="65"/>
  <c r="B24" i="59" s="1"/>
  <c r="P3" i="64"/>
  <c r="B24" i="281" s="1"/>
  <c r="B3" i="64"/>
  <c r="B10" i="281" s="1"/>
  <c r="J3" i="64"/>
  <c r="B18" i="281" s="1"/>
  <c r="R3" i="64"/>
  <c r="B26" i="281" s="1"/>
  <c r="C3" i="64"/>
  <c r="B11" i="281" s="1"/>
  <c r="K3" i="64"/>
  <c r="B19" i="281" s="1"/>
  <c r="D3" i="64"/>
  <c r="B12" i="281" s="1"/>
  <c r="L3" i="64"/>
  <c r="B20" i="281" s="1"/>
  <c r="T3" i="64"/>
  <c r="B28" i="281" s="1"/>
  <c r="S3" i="64"/>
  <c r="B27" i="281" s="1"/>
  <c r="E3" i="64"/>
  <c r="B13" i="281" s="1"/>
  <c r="M3" i="64"/>
  <c r="B21" i="281" s="1"/>
  <c r="U3" i="64"/>
  <c r="B29" i="281" s="1"/>
  <c r="V3" i="64"/>
  <c r="B30" i="281" s="1"/>
  <c r="F3" i="64"/>
  <c r="B14" i="281" s="1"/>
  <c r="N3" i="64"/>
  <c r="B22" i="281" s="1"/>
  <c r="G3" i="64"/>
  <c r="B15" i="281" s="1"/>
  <c r="O3" i="64"/>
  <c r="B23" i="281" s="1"/>
  <c r="W3" i="64"/>
  <c r="B31" i="281" s="1"/>
  <c r="X3" i="64"/>
  <c r="B32" i="281" s="1"/>
  <c r="H3" i="64"/>
  <c r="B16" i="281" s="1"/>
  <c r="J16" i="281" s="1"/>
  <c r="A3" i="64"/>
  <c r="B9" i="281" s="1"/>
  <c r="I3" i="64"/>
  <c r="B17" i="281" s="1"/>
  <c r="J17" i="281" s="1"/>
  <c r="Q3" i="64"/>
  <c r="B25" i="281" s="1"/>
  <c r="D14" i="85" l="1"/>
  <c r="B13" i="85"/>
  <c r="I12" i="85"/>
  <c r="B12" i="85"/>
  <c r="D12" i="85"/>
  <c r="D13" i="85"/>
  <c r="J16" i="59"/>
  <c r="B34" i="59"/>
  <c r="J15" i="59"/>
  <c r="J23" i="59"/>
  <c r="J31" i="59"/>
  <c r="J30" i="59"/>
  <c r="J26" i="59"/>
  <c r="J26" i="281"/>
  <c r="J23" i="281"/>
  <c r="J27" i="281"/>
  <c r="J15" i="281"/>
  <c r="J31" i="281"/>
  <c r="J29" i="281"/>
  <c r="J32" i="281"/>
  <c r="J30" i="281"/>
  <c r="J25" i="281"/>
  <c r="B34" i="281"/>
  <c r="T3" i="59"/>
  <c r="L3" i="59"/>
  <c r="X3" i="59"/>
  <c r="G3" i="59"/>
  <c r="Q3" i="59"/>
  <c r="Y3" i="59"/>
  <c r="C3" i="59"/>
  <c r="J3" i="59"/>
  <c r="N3" i="59"/>
  <c r="S3" i="59"/>
  <c r="E3" i="59"/>
  <c r="P3" i="59"/>
  <c r="K3" i="59"/>
  <c r="B3" i="59"/>
  <c r="H3" i="59"/>
  <c r="V3" i="59"/>
  <c r="U3" i="59"/>
  <c r="R3" i="59"/>
  <c r="F3" i="59"/>
  <c r="A3" i="59"/>
  <c r="M3" i="59"/>
  <c r="W3" i="59"/>
  <c r="D3" i="59"/>
  <c r="I3" i="59"/>
  <c r="E7" i="67"/>
  <c r="E9" i="67"/>
  <c r="J7" i="67"/>
  <c r="E8" i="67"/>
  <c r="E7" i="66"/>
  <c r="E9" i="66"/>
  <c r="J7" i="66"/>
  <c r="E8" i="66"/>
  <c r="B16" i="85" l="1"/>
  <c r="D16" i="85"/>
  <c r="E11" i="67"/>
  <c r="E11" i="66"/>
  <c r="B6" i="35" l="1"/>
  <c r="A2" i="56"/>
  <c r="B3" i="56" s="1"/>
  <c r="B10" i="50" s="1"/>
  <c r="B2" i="49"/>
  <c r="B2" i="52"/>
  <c r="B2" i="51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A2" i="48"/>
  <c r="G18" i="47"/>
  <c r="C18" i="47"/>
  <c r="G17" i="47"/>
  <c r="C17" i="47"/>
  <c r="G16" i="47"/>
  <c r="C16" i="47"/>
  <c r="G11" i="47"/>
  <c r="C10" i="47"/>
  <c r="C9" i="47"/>
  <c r="C8" i="47"/>
  <c r="C7" i="47"/>
  <c r="Q6" i="47"/>
  <c r="B4" i="47"/>
  <c r="K2" i="47"/>
  <c r="J2" i="47"/>
  <c r="C2" i="47"/>
  <c r="B2" i="47" s="1"/>
  <c r="C7" i="46"/>
  <c r="G18" i="46"/>
  <c r="C18" i="46"/>
  <c r="G17" i="46"/>
  <c r="C17" i="46"/>
  <c r="G16" i="46"/>
  <c r="C16" i="46"/>
  <c r="G11" i="46"/>
  <c r="C10" i="46"/>
  <c r="C9" i="46"/>
  <c r="C8" i="46"/>
  <c r="Q6" i="46"/>
  <c r="B4" i="46"/>
  <c r="K2" i="46"/>
  <c r="J2" i="46"/>
  <c r="C2" i="46"/>
  <c r="B2" i="46" s="1"/>
  <c r="Y3" i="56" l="1"/>
  <c r="B33" i="50" s="1"/>
  <c r="C3" i="56"/>
  <c r="B11" i="50" s="1"/>
  <c r="Y3" i="48"/>
  <c r="B33" i="49" s="1"/>
  <c r="K3" i="56"/>
  <c r="B19" i="50" s="1"/>
  <c r="S3" i="56"/>
  <c r="B27" i="50" s="1"/>
  <c r="J3" i="56"/>
  <c r="B18" i="50" s="1"/>
  <c r="R3" i="56"/>
  <c r="B26" i="50" s="1"/>
  <c r="J26" i="50" s="1"/>
  <c r="D3" i="56"/>
  <c r="B12" i="50" s="1"/>
  <c r="L3" i="56"/>
  <c r="B20" i="50" s="1"/>
  <c r="T3" i="56"/>
  <c r="B28" i="50" s="1"/>
  <c r="E3" i="56"/>
  <c r="B13" i="50" s="1"/>
  <c r="M3" i="56"/>
  <c r="B21" i="50" s="1"/>
  <c r="U3" i="56"/>
  <c r="B29" i="50" s="1"/>
  <c r="F3" i="56"/>
  <c r="B14" i="50" s="1"/>
  <c r="N3" i="56"/>
  <c r="B22" i="50" s="1"/>
  <c r="V3" i="56"/>
  <c r="B30" i="50" s="1"/>
  <c r="G3" i="56"/>
  <c r="B15" i="50" s="1"/>
  <c r="J15" i="50" s="1"/>
  <c r="O3" i="56"/>
  <c r="B23" i="50" s="1"/>
  <c r="W3" i="56"/>
  <c r="B31" i="50" s="1"/>
  <c r="H3" i="56"/>
  <c r="B16" i="50" s="1"/>
  <c r="J16" i="50" s="1"/>
  <c r="P3" i="56"/>
  <c r="B24" i="50" s="1"/>
  <c r="X3" i="56"/>
  <c r="B32" i="50" s="1"/>
  <c r="J32" i="50" s="1"/>
  <c r="A3" i="56"/>
  <c r="I3" i="56"/>
  <c r="B17" i="50" s="1"/>
  <c r="Q3" i="56"/>
  <c r="B25" i="50" s="1"/>
  <c r="J25" i="50" s="1"/>
  <c r="D3" i="48"/>
  <c r="B12" i="49" s="1"/>
  <c r="C3" i="48"/>
  <c r="B11" i="49" s="1"/>
  <c r="J3" i="48"/>
  <c r="B18" i="49" s="1"/>
  <c r="K3" i="48"/>
  <c r="B19" i="49" s="1"/>
  <c r="L3" i="48"/>
  <c r="B20" i="49" s="1"/>
  <c r="R3" i="48"/>
  <c r="B26" i="49" s="1"/>
  <c r="S3" i="48"/>
  <c r="B27" i="49" s="1"/>
  <c r="J27" i="49" s="1"/>
  <c r="B3" i="48"/>
  <c r="B10" i="49" s="1"/>
  <c r="T3" i="48"/>
  <c r="B28" i="49" s="1"/>
  <c r="A2" i="50"/>
  <c r="P3" i="50" s="1"/>
  <c r="A2" i="49"/>
  <c r="K3" i="49" s="1"/>
  <c r="L4" i="51" s="1"/>
  <c r="L5" i="51" s="1"/>
  <c r="E3" i="48"/>
  <c r="B13" i="49" s="1"/>
  <c r="M3" i="48"/>
  <c r="B21" i="49" s="1"/>
  <c r="U3" i="48"/>
  <c r="B29" i="49" s="1"/>
  <c r="J29" i="49" s="1"/>
  <c r="F3" i="48"/>
  <c r="B14" i="49" s="1"/>
  <c r="N3" i="48"/>
  <c r="B22" i="49" s="1"/>
  <c r="V3" i="48"/>
  <c r="B30" i="49" s="1"/>
  <c r="G3" i="48"/>
  <c r="B15" i="49" s="1"/>
  <c r="O3" i="48"/>
  <c r="B23" i="49" s="1"/>
  <c r="W3" i="48"/>
  <c r="B31" i="49" s="1"/>
  <c r="H3" i="48"/>
  <c r="B16" i="49" s="1"/>
  <c r="P3" i="48"/>
  <c r="B24" i="49" s="1"/>
  <c r="X3" i="48"/>
  <c r="B32" i="49" s="1"/>
  <c r="J32" i="49" s="1"/>
  <c r="A3" i="48"/>
  <c r="B9" i="49" s="1"/>
  <c r="I3" i="48"/>
  <c r="B17" i="49" s="1"/>
  <c r="Q3" i="48"/>
  <c r="B25" i="49" s="1"/>
  <c r="J25" i="49" s="1"/>
  <c r="I5" i="47"/>
  <c r="I6" i="47" s="1"/>
  <c r="C5" i="47"/>
  <c r="C6" i="47" s="1"/>
  <c r="K5" i="47"/>
  <c r="K6" i="47" s="1"/>
  <c r="D5" i="47"/>
  <c r="D6" i="47" s="1"/>
  <c r="E10" i="47" s="1"/>
  <c r="L5" i="47"/>
  <c r="L6" i="47" s="1"/>
  <c r="E5" i="47"/>
  <c r="E6" i="47" s="1"/>
  <c r="M5" i="47"/>
  <c r="M6" i="47" s="1"/>
  <c r="F5" i="47"/>
  <c r="F6" i="47" s="1"/>
  <c r="N5" i="47"/>
  <c r="N6" i="47" s="1"/>
  <c r="G5" i="47"/>
  <c r="G6" i="47" s="1"/>
  <c r="O5" i="47"/>
  <c r="O6" i="47" s="1"/>
  <c r="J5" i="47"/>
  <c r="J6" i="47" s="1"/>
  <c r="H5" i="47"/>
  <c r="H6" i="47" s="1"/>
  <c r="P5" i="47"/>
  <c r="P6" i="47" s="1"/>
  <c r="I5" i="46"/>
  <c r="I6" i="46" s="1"/>
  <c r="C5" i="46"/>
  <c r="C6" i="46" s="1"/>
  <c r="K5" i="46"/>
  <c r="K6" i="46" s="1"/>
  <c r="E8" i="46" s="1"/>
  <c r="D5" i="46"/>
  <c r="D6" i="46" s="1"/>
  <c r="E10" i="46" s="1"/>
  <c r="L5" i="46"/>
  <c r="J5" i="46"/>
  <c r="J6" i="46" s="1"/>
  <c r="E5" i="46"/>
  <c r="E6" i="46" s="1"/>
  <c r="M5" i="46"/>
  <c r="M6" i="46" s="1"/>
  <c r="L6" i="46"/>
  <c r="F5" i="46"/>
  <c r="F6" i="46" s="1"/>
  <c r="N5" i="46"/>
  <c r="N6" i="46" s="1"/>
  <c r="G5" i="46"/>
  <c r="G6" i="46" s="1"/>
  <c r="O5" i="46"/>
  <c r="O6" i="46" s="1"/>
  <c r="H5" i="46"/>
  <c r="H6" i="46" s="1"/>
  <c r="P5" i="46"/>
  <c r="P6" i="46" s="1"/>
  <c r="B9" i="50" l="1"/>
  <c r="J27" i="50"/>
  <c r="J30" i="50"/>
  <c r="J31" i="50"/>
  <c r="J23" i="50"/>
  <c r="J29" i="50"/>
  <c r="J30" i="49"/>
  <c r="J16" i="49"/>
  <c r="J23" i="49"/>
  <c r="J26" i="49"/>
  <c r="J31" i="49"/>
  <c r="J15" i="49"/>
  <c r="R3" i="50"/>
  <c r="J3" i="50"/>
  <c r="U3" i="50"/>
  <c r="B3" i="50"/>
  <c r="X3" i="50"/>
  <c r="E3" i="50"/>
  <c r="M3" i="50"/>
  <c r="K3" i="50"/>
  <c r="V3" i="50"/>
  <c r="C3" i="50"/>
  <c r="N3" i="50"/>
  <c r="Y3" i="50"/>
  <c r="Q3" i="50"/>
  <c r="I3" i="50"/>
  <c r="A3" i="50"/>
  <c r="L3" i="50"/>
  <c r="W3" i="50"/>
  <c r="O3" i="50"/>
  <c r="G3" i="50"/>
  <c r="D3" i="50"/>
  <c r="T3" i="50"/>
  <c r="F3" i="50"/>
  <c r="S3" i="50"/>
  <c r="H3" i="50"/>
  <c r="T3" i="49"/>
  <c r="U4" i="51" s="1"/>
  <c r="Y3" i="49"/>
  <c r="Z4" i="51" s="1"/>
  <c r="Q3" i="49"/>
  <c r="R4" i="51" s="1"/>
  <c r="I3" i="49"/>
  <c r="J4" i="51" s="1"/>
  <c r="J18" i="51" s="1"/>
  <c r="A3" i="49"/>
  <c r="X3" i="49"/>
  <c r="Y4" i="51" s="1"/>
  <c r="P3" i="49"/>
  <c r="Q4" i="51" s="1"/>
  <c r="H3" i="49"/>
  <c r="I4" i="51" s="1"/>
  <c r="I18" i="51" s="1"/>
  <c r="L3" i="49"/>
  <c r="M4" i="51" s="1"/>
  <c r="N3" i="49"/>
  <c r="O4" i="51" s="1"/>
  <c r="D3" i="49"/>
  <c r="E4" i="51" s="1"/>
  <c r="J3" i="49"/>
  <c r="K4" i="51" s="1"/>
  <c r="K18" i="51" s="1"/>
  <c r="U3" i="49"/>
  <c r="V4" i="51" s="1"/>
  <c r="B3" i="49"/>
  <c r="C4" i="51" s="1"/>
  <c r="C5" i="51" s="1"/>
  <c r="W3" i="49"/>
  <c r="X4" i="51" s="1"/>
  <c r="M3" i="49"/>
  <c r="N4" i="51" s="1"/>
  <c r="S3" i="49"/>
  <c r="T4" i="51" s="1"/>
  <c r="T18" i="51" s="1"/>
  <c r="O3" i="49"/>
  <c r="P4" i="51" s="1"/>
  <c r="E3" i="49"/>
  <c r="F4" i="51" s="1"/>
  <c r="F18" i="51" s="1"/>
  <c r="R3" i="49"/>
  <c r="S4" i="51" s="1"/>
  <c r="F3" i="49"/>
  <c r="G4" i="51" s="1"/>
  <c r="G3" i="49"/>
  <c r="H4" i="51" s="1"/>
  <c r="C3" i="49"/>
  <c r="V3" i="49"/>
  <c r="W4" i="51" s="1"/>
  <c r="E9" i="47"/>
  <c r="J7" i="47"/>
  <c r="E8" i="47"/>
  <c r="E7" i="47"/>
  <c r="E11" i="47" s="1"/>
  <c r="E9" i="46"/>
  <c r="J7" i="46"/>
  <c r="E7" i="46"/>
  <c r="E11" i="46" s="1"/>
  <c r="O18" i="51" l="1"/>
  <c r="N7" i="51"/>
  <c r="N18" i="51" s="1"/>
  <c r="N5" i="51"/>
  <c r="N14" i="51" s="1"/>
  <c r="E18" i="51"/>
  <c r="M14" i="51"/>
  <c r="H18" i="51"/>
  <c r="P2" i="53"/>
  <c r="Q18" i="51"/>
  <c r="X2" i="53"/>
  <c r="Y18" i="51"/>
  <c r="T2" i="53"/>
  <c r="U18" i="51"/>
  <c r="V2" i="53"/>
  <c r="W18" i="51"/>
  <c r="O2" i="53"/>
  <c r="P18" i="51"/>
  <c r="M18" i="51"/>
  <c r="W2" i="53"/>
  <c r="X18" i="51"/>
  <c r="Q2" i="53"/>
  <c r="R18" i="51"/>
  <c r="U2" i="53"/>
  <c r="V18" i="51"/>
  <c r="R2" i="53"/>
  <c r="S18" i="51"/>
  <c r="Y2" i="53"/>
  <c r="Z18" i="51"/>
  <c r="B34" i="50"/>
  <c r="D4" i="51"/>
  <c r="O14" i="51"/>
  <c r="N2" i="53"/>
  <c r="E2" i="53"/>
  <c r="S2" i="53"/>
  <c r="K2" i="53"/>
  <c r="L14" i="51"/>
  <c r="B34" i="49"/>
  <c r="J18" i="45"/>
  <c r="D18" i="45"/>
  <c r="O14" i="45"/>
  <c r="N14" i="45"/>
  <c r="M14" i="45"/>
  <c r="L14" i="45"/>
  <c r="I14" i="45"/>
  <c r="H14" i="45"/>
  <c r="G14" i="45"/>
  <c r="F14" i="45"/>
  <c r="E14" i="45"/>
  <c r="B2" i="45"/>
  <c r="E1" i="4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C2" i="35"/>
  <c r="C16" i="40"/>
  <c r="G18" i="40"/>
  <c r="C18" i="40"/>
  <c r="G17" i="40"/>
  <c r="C17" i="40"/>
  <c r="G16" i="40"/>
  <c r="G11" i="40"/>
  <c r="C10" i="40"/>
  <c r="C9" i="40"/>
  <c r="C8" i="40"/>
  <c r="C7" i="40"/>
  <c r="Q6" i="40"/>
  <c r="B4" i="40"/>
  <c r="K2" i="40"/>
  <c r="J2" i="40"/>
  <c r="C2" i="40"/>
  <c r="G11" i="39"/>
  <c r="C10" i="39"/>
  <c r="C9" i="39"/>
  <c r="C8" i="39"/>
  <c r="C7" i="39"/>
  <c r="G18" i="39"/>
  <c r="C18" i="39"/>
  <c r="G17" i="39"/>
  <c r="C17" i="39"/>
  <c r="G16" i="39"/>
  <c r="C16" i="39"/>
  <c r="Q6" i="39"/>
  <c r="B4" i="39"/>
  <c r="K2" i="39"/>
  <c r="J2" i="39"/>
  <c r="C2" i="39"/>
  <c r="G7" i="51" l="1"/>
  <c r="G18" i="51" s="1"/>
  <c r="G5" i="51"/>
  <c r="C2" i="53"/>
  <c r="L2" i="53"/>
  <c r="I5" i="40"/>
  <c r="M2" i="53"/>
  <c r="C18" i="51"/>
  <c r="D18" i="51"/>
  <c r="B2" i="53"/>
  <c r="G14" i="51"/>
  <c r="F2" i="53"/>
  <c r="I14" i="51"/>
  <c r="H2" i="53"/>
  <c r="D2" i="53"/>
  <c r="E14" i="51"/>
  <c r="E1" i="51"/>
  <c r="G2" i="53"/>
  <c r="H14" i="51"/>
  <c r="F14" i="51"/>
  <c r="B2" i="40"/>
  <c r="C5" i="40"/>
  <c r="C6" i="40" s="1"/>
  <c r="J5" i="40"/>
  <c r="J6" i="40" s="1"/>
  <c r="D5" i="40"/>
  <c r="D6" i="40" s="1"/>
  <c r="E10" i="40" s="1"/>
  <c r="L5" i="40"/>
  <c r="L6" i="40" s="1"/>
  <c r="E5" i="40"/>
  <c r="E6" i="40" s="1"/>
  <c r="M5" i="40"/>
  <c r="M6" i="40" s="1"/>
  <c r="K5" i="40"/>
  <c r="K6" i="40" s="1"/>
  <c r="F5" i="40"/>
  <c r="F6" i="40" s="1"/>
  <c r="N5" i="40"/>
  <c r="N6" i="40" s="1"/>
  <c r="G5" i="40"/>
  <c r="G6" i="40" s="1"/>
  <c r="O5" i="40"/>
  <c r="O6" i="40" s="1"/>
  <c r="I6" i="40"/>
  <c r="H5" i="40"/>
  <c r="H6" i="40" s="1"/>
  <c r="P5" i="40"/>
  <c r="P6" i="40" s="1"/>
  <c r="O5" i="39"/>
  <c r="O6" i="39" s="1"/>
  <c r="L5" i="39"/>
  <c r="L6" i="39" s="1"/>
  <c r="D5" i="39"/>
  <c r="D6" i="39" s="1"/>
  <c r="E10" i="39" s="1"/>
  <c r="G5" i="39"/>
  <c r="G6" i="39" s="1"/>
  <c r="P5" i="39"/>
  <c r="P6" i="39" s="1"/>
  <c r="H5" i="39"/>
  <c r="H6" i="39" s="1"/>
  <c r="C5" i="39"/>
  <c r="C6" i="39" s="1"/>
  <c r="B2" i="39"/>
  <c r="J5" i="39"/>
  <c r="J6" i="39" s="1"/>
  <c r="E9" i="39" s="1"/>
  <c r="K5" i="39"/>
  <c r="K6" i="39" s="1"/>
  <c r="I5" i="39"/>
  <c r="I6" i="39" s="1"/>
  <c r="E5" i="39"/>
  <c r="E6" i="39" s="1"/>
  <c r="M5" i="39"/>
  <c r="M6" i="39" s="1"/>
  <c r="F5" i="39"/>
  <c r="F6" i="39" s="1"/>
  <c r="N5" i="39"/>
  <c r="N6" i="39" s="1"/>
  <c r="F3" i="20"/>
  <c r="E7" i="39" l="1"/>
  <c r="E11" i="39" s="1"/>
  <c r="E8" i="39"/>
  <c r="B14" i="35"/>
  <c r="B18" i="51"/>
  <c r="Z19" i="51" s="1"/>
  <c r="W3" i="20"/>
  <c r="J3" i="20"/>
  <c r="B3" i="20"/>
  <c r="B10" i="35" s="1"/>
  <c r="E9" i="40"/>
  <c r="J7" i="40"/>
  <c r="E8" i="40"/>
  <c r="E7" i="40"/>
  <c r="E11" i="40" s="1"/>
  <c r="J7" i="39"/>
  <c r="M3" i="20"/>
  <c r="H3" i="20"/>
  <c r="X3" i="20"/>
  <c r="I3" i="20"/>
  <c r="Y3" i="20"/>
  <c r="R3" i="20"/>
  <c r="C3" i="20"/>
  <c r="K3" i="20"/>
  <c r="S3" i="20"/>
  <c r="P3" i="20"/>
  <c r="B24" i="35" s="1"/>
  <c r="A3" i="20"/>
  <c r="B9" i="35" s="1"/>
  <c r="Q3" i="20"/>
  <c r="D3" i="20"/>
  <c r="L3" i="20"/>
  <c r="T3" i="20"/>
  <c r="E3" i="20"/>
  <c r="B13" i="35" s="1"/>
  <c r="U3" i="20"/>
  <c r="N3" i="20"/>
  <c r="V3" i="20"/>
  <c r="G3" i="20"/>
  <c r="O3" i="20"/>
  <c r="X19" i="51" l="1"/>
  <c r="M19" i="51"/>
  <c r="G19" i="51"/>
  <c r="C19" i="51"/>
  <c r="U19" i="51"/>
  <c r="O19" i="51"/>
  <c r="F19" i="51"/>
  <c r="J19" i="51"/>
  <c r="W19" i="51"/>
  <c r="N19" i="51"/>
  <c r="Y19" i="51"/>
  <c r="R19" i="51"/>
  <c r="I19" i="51"/>
  <c r="B19" i="51"/>
  <c r="V19" i="51"/>
  <c r="Q19" i="51"/>
  <c r="K19" i="51"/>
  <c r="L19" i="51"/>
  <c r="P19" i="51"/>
  <c r="S19" i="51"/>
  <c r="H19" i="51"/>
  <c r="D19" i="51"/>
  <c r="E19" i="51"/>
  <c r="T19" i="51"/>
  <c r="B12" i="35"/>
  <c r="B30" i="35"/>
  <c r="B25" i="35"/>
  <c r="B17" i="35"/>
  <c r="B32" i="35"/>
  <c r="B20" i="35"/>
  <c r="B26" i="35"/>
  <c r="B22" i="35"/>
  <c r="B27" i="35"/>
  <c r="B21" i="35"/>
  <c r="B18" i="35"/>
  <c r="B15" i="35"/>
  <c r="B16" i="35"/>
  <c r="B19" i="35"/>
  <c r="B23" i="35"/>
  <c r="B33" i="35"/>
  <c r="B29" i="35"/>
  <c r="B28" i="35"/>
  <c r="B11" i="35"/>
  <c r="B31" i="35"/>
  <c r="A2" i="35"/>
  <c r="O3" i="35" l="1"/>
  <c r="I3" i="35"/>
  <c r="J4" i="282" s="1"/>
  <c r="J18" i="282" s="1"/>
  <c r="B34" i="35"/>
  <c r="B3" i="35"/>
  <c r="C4" i="15" s="1"/>
  <c r="C5" i="15" s="1"/>
  <c r="C3" i="35"/>
  <c r="H3" i="35"/>
  <c r="I4" i="282" s="1"/>
  <c r="Y3" i="35"/>
  <c r="Z4" i="282" s="1"/>
  <c r="Z18" i="282" s="1"/>
  <c r="Q3" i="35"/>
  <c r="R4" i="282" s="1"/>
  <c r="R18" i="282" s="1"/>
  <c r="A3" i="35"/>
  <c r="X3" i="35"/>
  <c r="Y4" i="282" s="1"/>
  <c r="Y18" i="282" s="1"/>
  <c r="P3" i="35"/>
  <c r="S3" i="35"/>
  <c r="T4" i="282" s="1"/>
  <c r="T18" i="282" s="1"/>
  <c r="V3" i="35"/>
  <c r="W4" i="282" s="1"/>
  <c r="W18" i="282" s="1"/>
  <c r="P4" i="282"/>
  <c r="F3" i="35"/>
  <c r="D3" i="35"/>
  <c r="W3" i="35"/>
  <c r="X4" i="282" s="1"/>
  <c r="X18" i="282" s="1"/>
  <c r="N3" i="35"/>
  <c r="O4" i="282" s="1"/>
  <c r="G3" i="35"/>
  <c r="H4" i="282" s="1"/>
  <c r="L3" i="35"/>
  <c r="M4" i="282" s="1"/>
  <c r="U3" i="35"/>
  <c r="V4" i="282" s="1"/>
  <c r="V18" i="282" s="1"/>
  <c r="M3" i="35"/>
  <c r="N4" i="282" s="1"/>
  <c r="E3" i="35"/>
  <c r="K3" i="35"/>
  <c r="L4" i="282" s="1"/>
  <c r="L5" i="282" s="1"/>
  <c r="L14" i="282" s="1"/>
  <c r="T3" i="35"/>
  <c r="U4" i="282" s="1"/>
  <c r="U18" i="282" s="1"/>
  <c r="J3" i="35"/>
  <c r="R3" i="35"/>
  <c r="S4" i="282" s="1"/>
  <c r="S18" i="282" s="1"/>
  <c r="A2" i="34"/>
  <c r="N3" i="34" s="1"/>
  <c r="D4" i="52" l="1"/>
  <c r="D4" i="15"/>
  <c r="D5" i="15" s="1"/>
  <c r="I18" i="282"/>
  <c r="I1" i="282"/>
  <c r="F4" i="282"/>
  <c r="F18" i="282" s="1"/>
  <c r="F4" i="15"/>
  <c r="F18" i="15" s="1"/>
  <c r="G4" i="282"/>
  <c r="G1" i="282" s="1"/>
  <c r="G4" i="15"/>
  <c r="H18" i="282"/>
  <c r="O18" i="282"/>
  <c r="N7" i="282"/>
  <c r="N18" i="282" s="1"/>
  <c r="N5" i="282"/>
  <c r="N14" i="282" s="1"/>
  <c r="P18" i="282"/>
  <c r="D18" i="52"/>
  <c r="C4" i="282"/>
  <c r="B2" i="301"/>
  <c r="J1" i="282"/>
  <c r="J14" i="282" s="1"/>
  <c r="Q4" i="290"/>
  <c r="Q18" i="290" s="1"/>
  <c r="Q4" i="282"/>
  <c r="Q18" i="282" s="1"/>
  <c r="N1" i="282"/>
  <c r="D4" i="282"/>
  <c r="K4" i="15"/>
  <c r="K18" i="15" s="1"/>
  <c r="K4" i="282"/>
  <c r="K18" i="282" s="1"/>
  <c r="L1" i="282"/>
  <c r="M1" i="282"/>
  <c r="H1" i="282"/>
  <c r="O1" i="282"/>
  <c r="E4" i="15"/>
  <c r="E4" i="282"/>
  <c r="E18" i="282" s="1"/>
  <c r="C4" i="61"/>
  <c r="D4" i="83"/>
  <c r="L4" i="15"/>
  <c r="L5" i="15" s="1"/>
  <c r="C4" i="52"/>
  <c r="C5" i="52" s="1"/>
  <c r="T4" i="112"/>
  <c r="T18" i="112" s="1"/>
  <c r="T4" i="15"/>
  <c r="W4" i="112"/>
  <c r="W18" i="112" s="1"/>
  <c r="W4" i="15"/>
  <c r="K4" i="112"/>
  <c r="K18" i="112" s="1"/>
  <c r="N4" i="112"/>
  <c r="N4" i="15"/>
  <c r="Q4" i="112"/>
  <c r="Q18" i="112" s="1"/>
  <c r="Q4" i="15"/>
  <c r="Q5" i="15" s="1"/>
  <c r="P2" i="2" s="1"/>
  <c r="Z4" i="112"/>
  <c r="Z18" i="112" s="1"/>
  <c r="Z4" i="15"/>
  <c r="H4" i="112"/>
  <c r="H4" i="15"/>
  <c r="H18" i="15" s="1"/>
  <c r="U4" i="112"/>
  <c r="U18" i="112" s="1"/>
  <c r="U4" i="15"/>
  <c r="J4" i="112"/>
  <c r="J18" i="112" s="1"/>
  <c r="J4" i="15"/>
  <c r="J18" i="15" s="1"/>
  <c r="O4" i="112"/>
  <c r="O4" i="15"/>
  <c r="O5" i="15" s="1"/>
  <c r="S4" i="112"/>
  <c r="S18" i="112" s="1"/>
  <c r="S4" i="15"/>
  <c r="M4" i="112"/>
  <c r="M4" i="15"/>
  <c r="M18" i="15" s="1"/>
  <c r="X4" i="112"/>
  <c r="X18" i="112" s="1"/>
  <c r="X4" i="15"/>
  <c r="P4" i="112"/>
  <c r="P4" i="15"/>
  <c r="R4" i="112"/>
  <c r="R18" i="112" s="1"/>
  <c r="R4" i="15"/>
  <c r="R18" i="15" s="1"/>
  <c r="I4" i="112"/>
  <c r="I18" i="112" s="1"/>
  <c r="I4" i="15"/>
  <c r="Y4" i="112"/>
  <c r="Y18" i="112" s="1"/>
  <c r="Y4" i="15"/>
  <c r="V4" i="112"/>
  <c r="V18" i="112" s="1"/>
  <c r="V4" i="15"/>
  <c r="G4" i="112"/>
  <c r="D4" i="112"/>
  <c r="F4" i="112"/>
  <c r="F18" i="112" s="1"/>
  <c r="E4" i="112"/>
  <c r="E18" i="112" s="1"/>
  <c r="L4" i="112"/>
  <c r="L5" i="112" s="1"/>
  <c r="L14" i="112" s="1"/>
  <c r="C4" i="112"/>
  <c r="Y4" i="105"/>
  <c r="Y18" i="105" s="1"/>
  <c r="Y4" i="108"/>
  <c r="Y18" i="108" s="1"/>
  <c r="R4" i="105"/>
  <c r="R18" i="105" s="1"/>
  <c r="R4" i="108"/>
  <c r="R18" i="108" s="1"/>
  <c r="O4" i="105"/>
  <c r="O4" i="108"/>
  <c r="F4" i="105"/>
  <c r="F18" i="105" s="1"/>
  <c r="F4" i="108"/>
  <c r="F18" i="108" s="1"/>
  <c r="G4" i="105"/>
  <c r="G4" i="108"/>
  <c r="Z4" i="105"/>
  <c r="Z18" i="105" s="1"/>
  <c r="Z4" i="108"/>
  <c r="Z18" i="108" s="1"/>
  <c r="X4" i="105"/>
  <c r="X18" i="105" s="1"/>
  <c r="X4" i="108"/>
  <c r="X18" i="108" s="1"/>
  <c r="N4" i="105"/>
  <c r="N4" i="108"/>
  <c r="P4" i="105"/>
  <c r="P4" i="108"/>
  <c r="J4" i="105"/>
  <c r="J18" i="105" s="1"/>
  <c r="J4" i="108"/>
  <c r="J18" i="108" s="1"/>
  <c r="U4" i="105"/>
  <c r="U18" i="105" s="1"/>
  <c r="U4" i="108"/>
  <c r="U18" i="108" s="1"/>
  <c r="V4" i="105"/>
  <c r="V18" i="105" s="1"/>
  <c r="V4" i="108"/>
  <c r="V18" i="108" s="1"/>
  <c r="W4" i="105"/>
  <c r="W18" i="105" s="1"/>
  <c r="W4" i="108"/>
  <c r="W18" i="108" s="1"/>
  <c r="I4" i="105"/>
  <c r="I18" i="105" s="1"/>
  <c r="I4" i="108"/>
  <c r="I18" i="108" s="1"/>
  <c r="K4" i="105"/>
  <c r="K18" i="105" s="1"/>
  <c r="K4" i="108"/>
  <c r="K18" i="108" s="1"/>
  <c r="E4" i="105"/>
  <c r="E18" i="105" s="1"/>
  <c r="E4" i="108"/>
  <c r="E18" i="108" s="1"/>
  <c r="M4" i="105"/>
  <c r="M4" i="108"/>
  <c r="T4" i="105"/>
  <c r="T18" i="105" s="1"/>
  <c r="T4" i="108"/>
  <c r="T18" i="108" s="1"/>
  <c r="D4" i="105"/>
  <c r="D4" i="108"/>
  <c r="L4" i="105"/>
  <c r="L5" i="105" s="1"/>
  <c r="L14" i="105" s="1"/>
  <c r="L4" i="108"/>
  <c r="L5" i="108" s="1"/>
  <c r="L14" i="108" s="1"/>
  <c r="S4" i="105"/>
  <c r="S18" i="105" s="1"/>
  <c r="S4" i="108"/>
  <c r="S18" i="108" s="1"/>
  <c r="H4" i="105"/>
  <c r="H4" i="108"/>
  <c r="Q4" i="105"/>
  <c r="Q18" i="105" s="1"/>
  <c r="Q4" i="108"/>
  <c r="Q18" i="108" s="1"/>
  <c r="C4" i="105"/>
  <c r="C4" i="108"/>
  <c r="Y4" i="93"/>
  <c r="Y18" i="93" s="1"/>
  <c r="Y4" i="101"/>
  <c r="Y18" i="101" s="1"/>
  <c r="Y4" i="96"/>
  <c r="Y18" i="96" s="1"/>
  <c r="R4" i="93"/>
  <c r="R18" i="93" s="1"/>
  <c r="R4" i="101"/>
  <c r="R18" i="101" s="1"/>
  <c r="R4" i="96"/>
  <c r="R18" i="96" s="1"/>
  <c r="X4" i="93"/>
  <c r="X18" i="93" s="1"/>
  <c r="X4" i="101"/>
  <c r="X18" i="101" s="1"/>
  <c r="X4" i="96"/>
  <c r="X18" i="96" s="1"/>
  <c r="G4" i="93"/>
  <c r="G4" i="101"/>
  <c r="G4" i="96"/>
  <c r="Z4" i="93"/>
  <c r="Z18" i="93" s="1"/>
  <c r="Z4" i="101"/>
  <c r="Z18" i="101" s="1"/>
  <c r="Z4" i="96"/>
  <c r="Z18" i="96" s="1"/>
  <c r="E4" i="93"/>
  <c r="E18" i="93" s="1"/>
  <c r="E4" i="101"/>
  <c r="E18" i="101" s="1"/>
  <c r="E4" i="96"/>
  <c r="E18" i="96" s="1"/>
  <c r="P4" i="93"/>
  <c r="P4" i="101"/>
  <c r="P4" i="96"/>
  <c r="J4" i="93"/>
  <c r="J18" i="93" s="1"/>
  <c r="J4" i="101"/>
  <c r="J18" i="101" s="1"/>
  <c r="J4" i="96"/>
  <c r="J18" i="96" s="1"/>
  <c r="K4" i="93"/>
  <c r="K18" i="93" s="1"/>
  <c r="K4" i="96"/>
  <c r="K18" i="96" s="1"/>
  <c r="K4" i="101"/>
  <c r="K18" i="101" s="1"/>
  <c r="L4" i="93"/>
  <c r="L5" i="93" s="1"/>
  <c r="L14" i="93" s="1"/>
  <c r="L4" i="101"/>
  <c r="L5" i="101" s="1"/>
  <c r="L14" i="101" s="1"/>
  <c r="L4" i="96"/>
  <c r="L5" i="96" s="1"/>
  <c r="L14" i="96" s="1"/>
  <c r="V4" i="93"/>
  <c r="V18" i="93" s="1"/>
  <c r="V4" i="101"/>
  <c r="V18" i="101" s="1"/>
  <c r="V4" i="96"/>
  <c r="V18" i="96" s="1"/>
  <c r="W4" i="93"/>
  <c r="W18" i="93" s="1"/>
  <c r="W4" i="101"/>
  <c r="W18" i="101" s="1"/>
  <c r="W4" i="96"/>
  <c r="W18" i="96" s="1"/>
  <c r="I4" i="93"/>
  <c r="I18" i="93" s="1"/>
  <c r="I4" i="101"/>
  <c r="I18" i="101" s="1"/>
  <c r="I4" i="96"/>
  <c r="I18" i="96" s="1"/>
  <c r="O4" i="93"/>
  <c r="O4" i="101"/>
  <c r="O4" i="96"/>
  <c r="F4" i="93"/>
  <c r="F18" i="93" s="1"/>
  <c r="F4" i="101"/>
  <c r="F18" i="101" s="1"/>
  <c r="F4" i="96"/>
  <c r="F18" i="96" s="1"/>
  <c r="M4" i="93"/>
  <c r="M4" i="96"/>
  <c r="M4" i="101"/>
  <c r="T4" i="93"/>
  <c r="T18" i="93" s="1"/>
  <c r="T4" i="101"/>
  <c r="T18" i="101" s="1"/>
  <c r="T4" i="96"/>
  <c r="T18" i="96" s="1"/>
  <c r="D4" i="93"/>
  <c r="D4" i="101"/>
  <c r="D4" i="96"/>
  <c r="U4" i="93"/>
  <c r="U18" i="93" s="1"/>
  <c r="U4" i="101"/>
  <c r="U18" i="101" s="1"/>
  <c r="U4" i="96"/>
  <c r="U18" i="96" s="1"/>
  <c r="N4" i="93"/>
  <c r="N4" i="101"/>
  <c r="N4" i="96"/>
  <c r="S4" i="93"/>
  <c r="S18" i="93" s="1"/>
  <c r="S4" i="96"/>
  <c r="S18" i="96" s="1"/>
  <c r="S4" i="101"/>
  <c r="S18" i="101" s="1"/>
  <c r="H4" i="93"/>
  <c r="H4" i="101"/>
  <c r="H4" i="96"/>
  <c r="Q4" i="93"/>
  <c r="Q18" i="93" s="1"/>
  <c r="Q4" i="101"/>
  <c r="Q18" i="101" s="1"/>
  <c r="Q4" i="96"/>
  <c r="Q18" i="96" s="1"/>
  <c r="C4" i="93"/>
  <c r="C4" i="96"/>
  <c r="C4" i="101"/>
  <c r="X4" i="83"/>
  <c r="X18" i="83" s="1"/>
  <c r="X4" i="89"/>
  <c r="X18" i="89" s="1"/>
  <c r="E4" i="83"/>
  <c r="E18" i="83" s="1"/>
  <c r="E4" i="89"/>
  <c r="E18" i="89" s="1"/>
  <c r="G4" i="83"/>
  <c r="G4" i="89"/>
  <c r="Z4" i="83"/>
  <c r="Z18" i="83" s="1"/>
  <c r="Z4" i="89"/>
  <c r="Z18" i="89" s="1"/>
  <c r="R4" i="83"/>
  <c r="R18" i="83" s="1"/>
  <c r="R4" i="89"/>
  <c r="R18" i="89" s="1"/>
  <c r="P4" i="83"/>
  <c r="P4" i="89"/>
  <c r="J4" i="83"/>
  <c r="J18" i="83" s="1"/>
  <c r="J4" i="89"/>
  <c r="J18" i="89" s="1"/>
  <c r="O4" i="83"/>
  <c r="O4" i="89"/>
  <c r="L4" i="83"/>
  <c r="L5" i="83" s="1"/>
  <c r="L14" i="83" s="1"/>
  <c r="L4" i="89"/>
  <c r="L5" i="89" s="1"/>
  <c r="L14" i="89" s="1"/>
  <c r="F4" i="83"/>
  <c r="F18" i="83" s="1"/>
  <c r="F4" i="89"/>
  <c r="F18" i="89" s="1"/>
  <c r="N4" i="83"/>
  <c r="N4" i="89"/>
  <c r="V4" i="83"/>
  <c r="V18" i="83" s="1"/>
  <c r="V4" i="89"/>
  <c r="V18" i="89" s="1"/>
  <c r="W4" i="83"/>
  <c r="W18" i="83" s="1"/>
  <c r="W4" i="89"/>
  <c r="W18" i="89" s="1"/>
  <c r="I4" i="83"/>
  <c r="I18" i="83" s="1"/>
  <c r="I4" i="89"/>
  <c r="I18" i="89" s="1"/>
  <c r="U4" i="83"/>
  <c r="U18" i="83" s="1"/>
  <c r="U4" i="89"/>
  <c r="U18" i="89" s="1"/>
  <c r="D4" i="89"/>
  <c r="K4" i="83"/>
  <c r="K18" i="83" s="1"/>
  <c r="K4" i="89"/>
  <c r="K18" i="89" s="1"/>
  <c r="Y4" i="83"/>
  <c r="Y18" i="83" s="1"/>
  <c r="Y4" i="89"/>
  <c r="Y18" i="89" s="1"/>
  <c r="M4" i="83"/>
  <c r="M4" i="89"/>
  <c r="T4" i="83"/>
  <c r="T18" i="83" s="1"/>
  <c r="T4" i="89"/>
  <c r="T18" i="89" s="1"/>
  <c r="S4" i="83"/>
  <c r="S18" i="83" s="1"/>
  <c r="S4" i="89"/>
  <c r="S18" i="89" s="1"/>
  <c r="H4" i="83"/>
  <c r="H4" i="89"/>
  <c r="Q4" i="83"/>
  <c r="Q18" i="83" s="1"/>
  <c r="Q4" i="89"/>
  <c r="Q18" i="89" s="1"/>
  <c r="C4" i="83"/>
  <c r="C4" i="89"/>
  <c r="N4" i="61"/>
  <c r="J4" i="61"/>
  <c r="J18" i="61" s="1"/>
  <c r="W4" i="61"/>
  <c r="W18" i="61" s="1"/>
  <c r="M4" i="61"/>
  <c r="D4" i="61"/>
  <c r="S4" i="61"/>
  <c r="S18" i="61" s="1"/>
  <c r="H4" i="61"/>
  <c r="Q4" i="61"/>
  <c r="Q18" i="61" s="1"/>
  <c r="K4" i="61"/>
  <c r="K18" i="61" s="1"/>
  <c r="O4" i="61"/>
  <c r="Y4" i="61"/>
  <c r="Y18" i="61" s="1"/>
  <c r="P4" i="61"/>
  <c r="V4" i="61"/>
  <c r="V18" i="61" s="1"/>
  <c r="I4" i="61"/>
  <c r="I18" i="61" s="1"/>
  <c r="T4" i="61"/>
  <c r="T18" i="61" s="1"/>
  <c r="U4" i="61"/>
  <c r="U18" i="61" s="1"/>
  <c r="X4" i="61"/>
  <c r="X18" i="61" s="1"/>
  <c r="L4" i="61"/>
  <c r="L5" i="61" s="1"/>
  <c r="E4" i="61"/>
  <c r="E18" i="61" s="1"/>
  <c r="R4" i="61"/>
  <c r="R18" i="61" s="1"/>
  <c r="F4" i="61"/>
  <c r="F18" i="61" s="1"/>
  <c r="G4" i="61"/>
  <c r="Z4" i="61"/>
  <c r="Z18" i="61" s="1"/>
  <c r="K4" i="45"/>
  <c r="K4" i="52"/>
  <c r="K18" i="52" s="1"/>
  <c r="U4" i="52"/>
  <c r="U18" i="52" s="1"/>
  <c r="E4" i="45"/>
  <c r="E4" i="52"/>
  <c r="R4" i="52"/>
  <c r="R18" i="52" s="1"/>
  <c r="L4" i="45"/>
  <c r="L18" i="45" s="1"/>
  <c r="L4" i="52"/>
  <c r="L5" i="52" s="1"/>
  <c r="G4" i="45"/>
  <c r="G1" i="45" s="1"/>
  <c r="G4" i="52"/>
  <c r="G5" i="52" s="1"/>
  <c r="Z4" i="52"/>
  <c r="Z18" i="52" s="1"/>
  <c r="O4" i="45"/>
  <c r="O18" i="45" s="1"/>
  <c r="O4" i="52"/>
  <c r="N4" i="45"/>
  <c r="N1" i="45" s="1"/>
  <c r="N4" i="52"/>
  <c r="P4" i="52"/>
  <c r="I2" i="53"/>
  <c r="J4" i="52"/>
  <c r="J18" i="52" s="1"/>
  <c r="X4" i="52"/>
  <c r="X18" i="52" s="1"/>
  <c r="V4" i="52"/>
  <c r="V18" i="52" s="1"/>
  <c r="W4" i="52"/>
  <c r="W18" i="52" s="1"/>
  <c r="I4" i="45"/>
  <c r="I1" i="45" s="1"/>
  <c r="I4" i="52"/>
  <c r="I18" i="52" s="1"/>
  <c r="F4" i="45"/>
  <c r="F18" i="45" s="1"/>
  <c r="F4" i="52"/>
  <c r="F18" i="52" s="1"/>
  <c r="M4" i="45"/>
  <c r="M18" i="45" s="1"/>
  <c r="M4" i="52"/>
  <c r="M5" i="52" s="1"/>
  <c r="T4" i="52"/>
  <c r="T18" i="52" s="1"/>
  <c r="D4" i="45"/>
  <c r="D5" i="45" s="1"/>
  <c r="Y4" i="52"/>
  <c r="Y18" i="52" s="1"/>
  <c r="S4" i="52"/>
  <c r="S18" i="52" s="1"/>
  <c r="H4" i="45"/>
  <c r="H1" i="45" s="1"/>
  <c r="H4" i="52"/>
  <c r="Q4" i="52"/>
  <c r="Q18" i="52" s="1"/>
  <c r="C4" i="45"/>
  <c r="Q4" i="45"/>
  <c r="Q18" i="45" s="1"/>
  <c r="Y4" i="45"/>
  <c r="Y18" i="45" s="1"/>
  <c r="T4" i="45"/>
  <c r="T18" i="45" s="1"/>
  <c r="S4" i="45"/>
  <c r="S18" i="45" s="1"/>
  <c r="X4" i="45"/>
  <c r="X18" i="45" s="1"/>
  <c r="R4" i="45"/>
  <c r="R18" i="45" s="1"/>
  <c r="Z4" i="45"/>
  <c r="Z18" i="45" s="1"/>
  <c r="V4" i="45"/>
  <c r="V18" i="45" s="1"/>
  <c r="U4" i="45"/>
  <c r="U18" i="45" s="1"/>
  <c r="P4" i="45"/>
  <c r="J4" i="45"/>
  <c r="J5" i="45" s="1"/>
  <c r="W4" i="45"/>
  <c r="W18" i="45" s="1"/>
  <c r="L3" i="34"/>
  <c r="A3" i="34"/>
  <c r="E3" i="34"/>
  <c r="I3" i="34"/>
  <c r="M3" i="34"/>
  <c r="C3" i="34"/>
  <c r="G3" i="34"/>
  <c r="K3" i="34"/>
  <c r="D3" i="34"/>
  <c r="H3" i="34"/>
  <c r="B3" i="34"/>
  <c r="F3" i="34"/>
  <c r="J3" i="34"/>
  <c r="G5" i="15" l="1"/>
  <c r="N5" i="15"/>
  <c r="G7" i="15"/>
  <c r="E18" i="15"/>
  <c r="P18" i="15"/>
  <c r="N7" i="15"/>
  <c r="D7" i="52"/>
  <c r="N5" i="52"/>
  <c r="N14" i="52" s="1"/>
  <c r="N7" i="52"/>
  <c r="N18" i="52" s="1"/>
  <c r="D5" i="52"/>
  <c r="E18" i="52"/>
  <c r="C2" i="2"/>
  <c r="F2" i="2"/>
  <c r="F1" i="282"/>
  <c r="C5" i="112"/>
  <c r="C5" i="61"/>
  <c r="G7" i="282"/>
  <c r="G18" i="282" s="1"/>
  <c r="G5" i="282"/>
  <c r="G14" i="282" s="1"/>
  <c r="M5" i="108"/>
  <c r="M14" i="108" s="1"/>
  <c r="B2" i="2"/>
  <c r="M7" i="108"/>
  <c r="M18" i="108" s="1"/>
  <c r="P18" i="108"/>
  <c r="M5" i="96"/>
  <c r="M14" i="96" s="1"/>
  <c r="M5" i="93"/>
  <c r="M14" i="93" s="1"/>
  <c r="M7" i="112"/>
  <c r="M18" i="112" s="1"/>
  <c r="P18" i="112"/>
  <c r="G7" i="93"/>
  <c r="G18" i="93" s="1"/>
  <c r="G5" i="93"/>
  <c r="G14" i="93" s="1"/>
  <c r="H18" i="93"/>
  <c r="G7" i="112"/>
  <c r="G18" i="112" s="1"/>
  <c r="G5" i="112"/>
  <c r="G14" i="112" s="1"/>
  <c r="H18" i="112"/>
  <c r="M7" i="61"/>
  <c r="M18" i="61" s="1"/>
  <c r="P18" i="61"/>
  <c r="N5" i="61"/>
  <c r="N7" i="61"/>
  <c r="N18" i="61" s="1"/>
  <c r="O18" i="61"/>
  <c r="G7" i="61"/>
  <c r="G18" i="61" s="1"/>
  <c r="H18" i="61"/>
  <c r="G5" i="61"/>
  <c r="G5" i="108"/>
  <c r="G14" i="108" s="1"/>
  <c r="H18" i="108"/>
  <c r="G7" i="108"/>
  <c r="G18" i="108" s="1"/>
  <c r="M7" i="83"/>
  <c r="M18" i="83" s="1"/>
  <c r="P18" i="83"/>
  <c r="G5" i="96"/>
  <c r="G14" i="96" s="1"/>
  <c r="G7" i="96"/>
  <c r="G18" i="96" s="1"/>
  <c r="H18" i="96"/>
  <c r="G7" i="105"/>
  <c r="G18" i="105" s="1"/>
  <c r="G5" i="105"/>
  <c r="G14" i="105" s="1"/>
  <c r="H18" i="105"/>
  <c r="C5" i="282"/>
  <c r="C1" i="282" s="1"/>
  <c r="C14" i="282" s="1"/>
  <c r="G5" i="83"/>
  <c r="G14" i="83" s="1"/>
  <c r="H18" i="83"/>
  <c r="G7" i="83"/>
  <c r="G18" i="83" s="1"/>
  <c r="M5" i="105"/>
  <c r="M14" i="105" s="1"/>
  <c r="D18" i="83"/>
  <c r="C7" i="83"/>
  <c r="C18" i="83" s="1"/>
  <c r="M5" i="89"/>
  <c r="M14" i="89" s="1"/>
  <c r="C7" i="61"/>
  <c r="C18" i="61" s="1"/>
  <c r="D18" i="61"/>
  <c r="O18" i="96"/>
  <c r="N7" i="96"/>
  <c r="N18" i="96" s="1"/>
  <c r="N5" i="96"/>
  <c r="N14" i="96" s="1"/>
  <c r="C7" i="112"/>
  <c r="C18" i="112" s="1"/>
  <c r="D18" i="112"/>
  <c r="M1" i="112"/>
  <c r="M5" i="112"/>
  <c r="M14" i="112" s="1"/>
  <c r="O18" i="52"/>
  <c r="M5" i="61"/>
  <c r="M14" i="52"/>
  <c r="N7" i="101"/>
  <c r="N18" i="101" s="1"/>
  <c r="N5" i="101"/>
  <c r="N14" i="101" s="1"/>
  <c r="O18" i="101"/>
  <c r="M5" i="282"/>
  <c r="M14" i="282" s="1"/>
  <c r="H18" i="89"/>
  <c r="G7" i="89"/>
  <c r="G18" i="89" s="1"/>
  <c r="G5" i="89"/>
  <c r="G14" i="89" s="1"/>
  <c r="M7" i="93"/>
  <c r="M18" i="93" s="1"/>
  <c r="P18" i="93"/>
  <c r="G7" i="101"/>
  <c r="G18" i="101" s="1"/>
  <c r="H18" i="101"/>
  <c r="G5" i="101"/>
  <c r="G14" i="101" s="1"/>
  <c r="N7" i="89"/>
  <c r="N18" i="89" s="1"/>
  <c r="O18" i="89"/>
  <c r="N5" i="89"/>
  <c r="N14" i="89" s="1"/>
  <c r="C5" i="101"/>
  <c r="O1" i="93"/>
  <c r="N5" i="93"/>
  <c r="N14" i="93" s="1"/>
  <c r="O18" i="93"/>
  <c r="N7" i="93"/>
  <c r="N18" i="93" s="1"/>
  <c r="C18" i="52"/>
  <c r="P18" i="105"/>
  <c r="M7" i="105"/>
  <c r="M18" i="105" s="1"/>
  <c r="G18" i="52"/>
  <c r="G14" i="52"/>
  <c r="H18" i="52"/>
  <c r="K2" i="63"/>
  <c r="K2" i="84"/>
  <c r="L14" i="61"/>
  <c r="C5" i="89"/>
  <c r="C7" i="89"/>
  <c r="C18" i="89" s="1"/>
  <c r="D18" i="89"/>
  <c r="N5" i="83"/>
  <c r="N14" i="83" s="1"/>
  <c r="N7" i="83"/>
  <c r="N18" i="83" s="1"/>
  <c r="O18" i="83"/>
  <c r="C5" i="96"/>
  <c r="C5" i="108"/>
  <c r="C5" i="105"/>
  <c r="C1" i="105" s="1"/>
  <c r="C14" i="105" s="1"/>
  <c r="P18" i="52"/>
  <c r="M18" i="52"/>
  <c r="M5" i="83"/>
  <c r="M14" i="83" s="1"/>
  <c r="C5" i="83"/>
  <c r="C5" i="93"/>
  <c r="D18" i="96"/>
  <c r="C7" i="96"/>
  <c r="C18" i="96" s="1"/>
  <c r="D18" i="108"/>
  <c r="C7" i="108"/>
  <c r="C18" i="108" s="1"/>
  <c r="N7" i="108"/>
  <c r="N18" i="108" s="1"/>
  <c r="O18" i="108"/>
  <c r="N5" i="108"/>
  <c r="N14" i="108" s="1"/>
  <c r="O1" i="112"/>
  <c r="O18" i="112"/>
  <c r="N7" i="112"/>
  <c r="N18" i="112" s="1"/>
  <c r="N5" i="112"/>
  <c r="N14" i="112" s="1"/>
  <c r="M7" i="282"/>
  <c r="M18" i="282" s="1"/>
  <c r="D18" i="101"/>
  <c r="C7" i="101"/>
  <c r="C18" i="101" s="1"/>
  <c r="P18" i="96"/>
  <c r="M7" i="96"/>
  <c r="M18" i="96" s="1"/>
  <c r="C7" i="105"/>
  <c r="C18" i="105" s="1"/>
  <c r="D18" i="105"/>
  <c r="O1" i="105"/>
  <c r="N5" i="105"/>
  <c r="N14" i="105" s="1"/>
  <c r="O18" i="105"/>
  <c r="N7" i="105"/>
  <c r="N18" i="105" s="1"/>
  <c r="M5" i="101"/>
  <c r="M14" i="101" s="1"/>
  <c r="M7" i="89"/>
  <c r="M18" i="89" s="1"/>
  <c r="P18" i="89"/>
  <c r="C7" i="93"/>
  <c r="C18" i="93" s="1"/>
  <c r="D18" i="93"/>
  <c r="M7" i="101"/>
  <c r="M18" i="101" s="1"/>
  <c r="P18" i="101"/>
  <c r="D18" i="282"/>
  <c r="C7" i="282"/>
  <c r="C18" i="282" s="1"/>
  <c r="V18" i="15"/>
  <c r="U18" i="15"/>
  <c r="Z18" i="15"/>
  <c r="T18" i="15"/>
  <c r="X18" i="15"/>
  <c r="W18" i="15"/>
  <c r="Y18" i="15"/>
  <c r="I18" i="15"/>
  <c r="S18" i="15"/>
  <c r="I2" i="2"/>
  <c r="E2" i="2"/>
  <c r="K1" i="108"/>
  <c r="K14" i="108" s="1"/>
  <c r="K1" i="101"/>
  <c r="K14" i="101" s="1"/>
  <c r="K1" i="96"/>
  <c r="K14" i="96" s="1"/>
  <c r="K1" i="89"/>
  <c r="K14" i="89" s="1"/>
  <c r="K1" i="93"/>
  <c r="K14" i="93" s="1"/>
  <c r="K1" i="112"/>
  <c r="K14" i="112" s="1"/>
  <c r="K1" i="83"/>
  <c r="K14" i="83" s="1"/>
  <c r="J2" i="55"/>
  <c r="K1" i="282"/>
  <c r="K14" i="282" s="1"/>
  <c r="J1" i="105"/>
  <c r="J14" i="105" s="1"/>
  <c r="H1" i="112"/>
  <c r="D1" i="83"/>
  <c r="F1" i="112"/>
  <c r="J1" i="112"/>
  <c r="J14" i="112" s="1"/>
  <c r="J1" i="108"/>
  <c r="J14" i="108" s="1"/>
  <c r="G1" i="83"/>
  <c r="D1" i="112"/>
  <c r="J2" i="84"/>
  <c r="G1" i="105"/>
  <c r="J1" i="96"/>
  <c r="J14" i="96" s="1"/>
  <c r="H1" i="93"/>
  <c r="J1" i="89"/>
  <c r="J14" i="89" s="1"/>
  <c r="J1" i="93"/>
  <c r="J14" i="93" s="1"/>
  <c r="J1" i="83"/>
  <c r="J14" i="83" s="1"/>
  <c r="J1" i="52"/>
  <c r="J14" i="52" s="1"/>
  <c r="I14" i="52"/>
  <c r="O14" i="52"/>
  <c r="I2" i="84"/>
  <c r="L14" i="52"/>
  <c r="F14" i="52"/>
  <c r="D1" i="282"/>
  <c r="B4" i="282"/>
  <c r="H14" i="52"/>
  <c r="D2" i="2"/>
  <c r="D2" i="55"/>
  <c r="N1" i="112"/>
  <c r="I1" i="112"/>
  <c r="G1" i="112"/>
  <c r="L1" i="112"/>
  <c r="D1" i="15"/>
  <c r="G1" i="93"/>
  <c r="B4" i="112"/>
  <c r="D1" i="93"/>
  <c r="F1" i="93"/>
  <c r="L1" i="93"/>
  <c r="I1" i="105"/>
  <c r="I1" i="93"/>
  <c r="H1" i="105"/>
  <c r="N1" i="93"/>
  <c r="N1" i="105"/>
  <c r="B4" i="105"/>
  <c r="K1" i="105"/>
  <c r="K14" i="105" s="1"/>
  <c r="F1" i="105"/>
  <c r="L1" i="105"/>
  <c r="D1" i="108"/>
  <c r="O1" i="108"/>
  <c r="H1" i="108"/>
  <c r="D1" i="105"/>
  <c r="M1" i="108"/>
  <c r="G1" i="108"/>
  <c r="I1" i="108"/>
  <c r="M1" i="105"/>
  <c r="B4" i="108"/>
  <c r="L1" i="108"/>
  <c r="N1" i="108"/>
  <c r="F1" i="108"/>
  <c r="B4" i="93"/>
  <c r="H1" i="83"/>
  <c r="M1" i="93"/>
  <c r="D1" i="96"/>
  <c r="I1" i="101"/>
  <c r="L1" i="96"/>
  <c r="D1" i="101"/>
  <c r="F1" i="96"/>
  <c r="L1" i="101"/>
  <c r="N1" i="96"/>
  <c r="F1" i="101"/>
  <c r="G1" i="96"/>
  <c r="N1" i="101"/>
  <c r="G1" i="101"/>
  <c r="I1" i="83"/>
  <c r="H1" i="96"/>
  <c r="O1" i="96"/>
  <c r="H1" i="101"/>
  <c r="O1" i="101"/>
  <c r="B4" i="101"/>
  <c r="M1" i="101"/>
  <c r="B4" i="96"/>
  <c r="M1" i="96"/>
  <c r="I1" i="96"/>
  <c r="J1" i="101"/>
  <c r="J14" i="101" s="1"/>
  <c r="O1" i="83"/>
  <c r="B4" i="83"/>
  <c r="F1" i="83"/>
  <c r="L1" i="83"/>
  <c r="G1" i="89"/>
  <c r="I1" i="89"/>
  <c r="M1" i="83"/>
  <c r="L1" i="89"/>
  <c r="B4" i="89"/>
  <c r="D1" i="89"/>
  <c r="O1" i="89"/>
  <c r="H1" i="89"/>
  <c r="N1" i="83"/>
  <c r="F1" i="89"/>
  <c r="M1" i="89"/>
  <c r="N1" i="89"/>
  <c r="F1" i="61"/>
  <c r="D1" i="61"/>
  <c r="N1" i="61"/>
  <c r="B4" i="61"/>
  <c r="M1" i="61"/>
  <c r="L1" i="61"/>
  <c r="G1" i="61"/>
  <c r="I1" i="61"/>
  <c r="O1" i="61"/>
  <c r="H1" i="61"/>
  <c r="M1" i="45"/>
  <c r="I1" i="52"/>
  <c r="L1" i="51"/>
  <c r="I1" i="51"/>
  <c r="O1" i="51"/>
  <c r="L1" i="52"/>
  <c r="M1" i="51"/>
  <c r="H1" i="51"/>
  <c r="E18" i="45"/>
  <c r="C7" i="45"/>
  <c r="C18" i="45" s="1"/>
  <c r="F1" i="51"/>
  <c r="N1" i="52"/>
  <c r="G1" i="52"/>
  <c r="M1" i="52"/>
  <c r="O1" i="45"/>
  <c r="H1" i="52"/>
  <c r="F1" i="52"/>
  <c r="N1" i="51"/>
  <c r="G1" i="51"/>
  <c r="L1" i="45"/>
  <c r="N18" i="45"/>
  <c r="I18" i="45"/>
  <c r="K5" i="45"/>
  <c r="K1" i="45" s="1"/>
  <c r="K14" i="45" s="1"/>
  <c r="D1" i="45"/>
  <c r="D14" i="45" s="1"/>
  <c r="K7" i="45"/>
  <c r="K18" i="45" s="1"/>
  <c r="G18" i="45"/>
  <c r="D1" i="52"/>
  <c r="O1" i="52"/>
  <c r="D1" i="51"/>
  <c r="D14" i="51" s="1"/>
  <c r="B4" i="52"/>
  <c r="J1" i="51"/>
  <c r="J14" i="51" s="1"/>
  <c r="H18" i="45"/>
  <c r="B4" i="51"/>
  <c r="J2" i="53"/>
  <c r="F1" i="45"/>
  <c r="P18" i="45"/>
  <c r="J1" i="45"/>
  <c r="J14" i="45" s="1"/>
  <c r="B4" i="45"/>
  <c r="C5" i="45"/>
  <c r="C1" i="45" s="1"/>
  <c r="C14" i="45" s="1"/>
  <c r="B18" i="83" l="1"/>
  <c r="S19" i="83" s="1"/>
  <c r="B18" i="282"/>
  <c r="H19" i="282" s="1"/>
  <c r="B18" i="61"/>
  <c r="H19" i="61" s="1"/>
  <c r="B18" i="101"/>
  <c r="O19" i="101" s="1"/>
  <c r="F2" i="84"/>
  <c r="F2" i="63"/>
  <c r="G14" i="61"/>
  <c r="B18" i="105"/>
  <c r="M19" i="105" s="1"/>
  <c r="B18" i="96"/>
  <c r="N19" i="96" s="1"/>
  <c r="L2" i="84"/>
  <c r="L2" i="63"/>
  <c r="M14" i="61"/>
  <c r="B18" i="108"/>
  <c r="C19" i="108" s="1"/>
  <c r="Q19" i="282"/>
  <c r="B18" i="93"/>
  <c r="D19" i="93" s="1"/>
  <c r="B18" i="89"/>
  <c r="C19" i="89" s="1"/>
  <c r="B18" i="112"/>
  <c r="D19" i="112" s="1"/>
  <c r="M2" i="84"/>
  <c r="N14" i="61"/>
  <c r="M2" i="63"/>
  <c r="B18" i="52"/>
  <c r="M19" i="52" s="1"/>
  <c r="B18" i="15"/>
  <c r="S19" i="15" s="1"/>
  <c r="I2" i="55"/>
  <c r="E2" i="55"/>
  <c r="B7" i="282"/>
  <c r="D14" i="93"/>
  <c r="D14" i="83"/>
  <c r="D14" i="112"/>
  <c r="B2" i="84"/>
  <c r="B2" i="63"/>
  <c r="I2" i="63"/>
  <c r="J1" i="61"/>
  <c r="J14" i="61" s="1"/>
  <c r="D14" i="282"/>
  <c r="B14" i="282" s="1"/>
  <c r="B5" i="282"/>
  <c r="E14" i="52"/>
  <c r="E1" i="52"/>
  <c r="H2" i="55"/>
  <c r="H2" i="2"/>
  <c r="Y2" i="55"/>
  <c r="Y2" i="2"/>
  <c r="U2" i="55"/>
  <c r="U2" i="2"/>
  <c r="O2" i="55"/>
  <c r="O2" i="2"/>
  <c r="X2" i="2"/>
  <c r="X2" i="55"/>
  <c r="N2" i="55"/>
  <c r="N2" i="2"/>
  <c r="K2" i="2"/>
  <c r="K2" i="55"/>
  <c r="S2" i="2"/>
  <c r="S2" i="55"/>
  <c r="M2" i="2"/>
  <c r="M2" i="55"/>
  <c r="G2" i="2"/>
  <c r="G2" i="55"/>
  <c r="V2" i="2"/>
  <c r="V2" i="55"/>
  <c r="L2" i="55"/>
  <c r="L2" i="2"/>
  <c r="Q2" i="55"/>
  <c r="Q2" i="2"/>
  <c r="R2" i="55"/>
  <c r="R2" i="2"/>
  <c r="P2" i="55"/>
  <c r="T2" i="55"/>
  <c r="T2" i="2"/>
  <c r="F2" i="55"/>
  <c r="W2" i="2"/>
  <c r="W2" i="55"/>
  <c r="B5" i="112"/>
  <c r="B7" i="15"/>
  <c r="C1" i="112"/>
  <c r="C14" i="112" s="1"/>
  <c r="C1" i="15"/>
  <c r="C14" i="15" s="1"/>
  <c r="B7" i="112"/>
  <c r="B29" i="15"/>
  <c r="C2" i="55"/>
  <c r="C1" i="93"/>
  <c r="C14" i="93" s="1"/>
  <c r="B7" i="93"/>
  <c r="B7" i="105"/>
  <c r="D14" i="101"/>
  <c r="D14" i="108"/>
  <c r="D14" i="105"/>
  <c r="B14" i="105" s="1"/>
  <c r="B5" i="83"/>
  <c r="C1" i="108"/>
  <c r="C14" i="108" s="1"/>
  <c r="B5" i="108"/>
  <c r="B5" i="93"/>
  <c r="B5" i="105"/>
  <c r="B7" i="108"/>
  <c r="C1" i="83"/>
  <c r="C14" i="83" s="1"/>
  <c r="B7" i="101"/>
  <c r="B7" i="96"/>
  <c r="B5" i="96"/>
  <c r="C1" i="96"/>
  <c r="C14" i="96" s="1"/>
  <c r="D14" i="96"/>
  <c r="B5" i="101"/>
  <c r="C1" i="101"/>
  <c r="C14" i="101" s="1"/>
  <c r="B7" i="83"/>
  <c r="D14" i="89"/>
  <c r="B7" i="89"/>
  <c r="C1" i="89"/>
  <c r="C14" i="89" s="1"/>
  <c r="B5" i="89"/>
  <c r="J2" i="63"/>
  <c r="K1" i="61"/>
  <c r="K14" i="61" s="1"/>
  <c r="C2" i="63"/>
  <c r="D14" i="61"/>
  <c r="B5" i="61"/>
  <c r="C1" i="61"/>
  <c r="C14" i="61" s="1"/>
  <c r="B7" i="61"/>
  <c r="B7" i="45"/>
  <c r="B7" i="51"/>
  <c r="B18" i="45"/>
  <c r="P19" i="45" s="1"/>
  <c r="B7" i="52"/>
  <c r="B4" i="15"/>
  <c r="A2" i="53"/>
  <c r="B5" i="51"/>
  <c r="C1" i="51"/>
  <c r="C14" i="51" s="1"/>
  <c r="D14" i="52"/>
  <c r="K1" i="52"/>
  <c r="K14" i="52" s="1"/>
  <c r="C1" i="52"/>
  <c r="C14" i="52" s="1"/>
  <c r="B5" i="52"/>
  <c r="K1" i="51"/>
  <c r="K14" i="51" s="1"/>
  <c r="B5" i="45"/>
  <c r="B14" i="45"/>
  <c r="F14" i="15"/>
  <c r="G14" i="15"/>
  <c r="H14" i="15"/>
  <c r="I14" i="15"/>
  <c r="K2" i="33"/>
  <c r="J2" i="33"/>
  <c r="C2" i="33"/>
  <c r="G18" i="33"/>
  <c r="C18" i="33"/>
  <c r="G17" i="33"/>
  <c r="C17" i="33"/>
  <c r="G16" i="33"/>
  <c r="C16" i="33"/>
  <c r="G15" i="33"/>
  <c r="C15" i="33"/>
  <c r="G14" i="33"/>
  <c r="C14" i="33"/>
  <c r="G13" i="33"/>
  <c r="C13" i="33"/>
  <c r="G12" i="33"/>
  <c r="C12" i="33"/>
  <c r="G11" i="33"/>
  <c r="C11" i="33"/>
  <c r="G10" i="33"/>
  <c r="C10" i="33"/>
  <c r="Q6" i="33"/>
  <c r="B4" i="33"/>
  <c r="I19" i="282" l="1"/>
  <c r="T19" i="282"/>
  <c r="F19" i="282"/>
  <c r="R19" i="282"/>
  <c r="J19" i="282"/>
  <c r="W19" i="282"/>
  <c r="W20" i="282" s="1"/>
  <c r="G19" i="282"/>
  <c r="G20" i="282" s="1"/>
  <c r="U19" i="282"/>
  <c r="U20" i="282" s="1"/>
  <c r="S19" i="282"/>
  <c r="S20" i="282" s="1"/>
  <c r="Y19" i="282"/>
  <c r="Y20" i="282" s="1"/>
  <c r="K19" i="83"/>
  <c r="R19" i="83"/>
  <c r="P19" i="83"/>
  <c r="Z19" i="83"/>
  <c r="H19" i="83"/>
  <c r="G19" i="83"/>
  <c r="D19" i="83"/>
  <c r="Y19" i="83"/>
  <c r="W19" i="83"/>
  <c r="M19" i="83"/>
  <c r="L19" i="83"/>
  <c r="M19" i="282"/>
  <c r="M20" i="282" s="1"/>
  <c r="Q19" i="83"/>
  <c r="I19" i="83"/>
  <c r="U19" i="83"/>
  <c r="X19" i="83"/>
  <c r="D19" i="282"/>
  <c r="X19" i="282"/>
  <c r="X20" i="282" s="1"/>
  <c r="V19" i="282"/>
  <c r="V20" i="282" s="1"/>
  <c r="Z19" i="282"/>
  <c r="Z20" i="282" s="1"/>
  <c r="C19" i="282"/>
  <c r="N19" i="83"/>
  <c r="N19" i="282"/>
  <c r="N20" i="282" s="1"/>
  <c r="B19" i="83"/>
  <c r="C19" i="83"/>
  <c r="F19" i="83"/>
  <c r="E19" i="282"/>
  <c r="E20" i="282" s="1"/>
  <c r="B19" i="282"/>
  <c r="V19" i="83"/>
  <c r="L19" i="282"/>
  <c r="L20" i="282" s="1"/>
  <c r="J19" i="83"/>
  <c r="O19" i="83"/>
  <c r="E19" i="83"/>
  <c r="P19" i="282"/>
  <c r="P20" i="282" s="1"/>
  <c r="T19" i="83"/>
  <c r="K19" i="282"/>
  <c r="O19" i="282"/>
  <c r="O20" i="282" s="1"/>
  <c r="P19" i="61"/>
  <c r="O19" i="61"/>
  <c r="N19" i="105"/>
  <c r="H19" i="101"/>
  <c r="C19" i="101"/>
  <c r="D19" i="61"/>
  <c r="H19" i="112"/>
  <c r="O19" i="93"/>
  <c r="O19" i="112"/>
  <c r="G19" i="61"/>
  <c r="C19" i="61"/>
  <c r="D19" i="101"/>
  <c r="M19" i="101"/>
  <c r="C19" i="93"/>
  <c r="N19" i="61"/>
  <c r="P19" i="112"/>
  <c r="G19" i="108"/>
  <c r="M19" i="108"/>
  <c r="H19" i="93"/>
  <c r="G19" i="101"/>
  <c r="C19" i="52"/>
  <c r="Z19" i="89"/>
  <c r="B19" i="89"/>
  <c r="L19" i="89"/>
  <c r="X19" i="89"/>
  <c r="Q19" i="89"/>
  <c r="I19" i="89"/>
  <c r="F19" i="89"/>
  <c r="U19" i="89"/>
  <c r="W19" i="89"/>
  <c r="J19" i="89"/>
  <c r="K19" i="89"/>
  <c r="S19" i="89"/>
  <c r="E19" i="89"/>
  <c r="Y19" i="89"/>
  <c r="R19" i="89"/>
  <c r="T19" i="89"/>
  <c r="V19" i="89"/>
  <c r="C19" i="96"/>
  <c r="Z19" i="105"/>
  <c r="L19" i="105"/>
  <c r="B19" i="105"/>
  <c r="I19" i="105"/>
  <c r="W19" i="105"/>
  <c r="T19" i="105"/>
  <c r="J19" i="105"/>
  <c r="V19" i="105"/>
  <c r="E19" i="105"/>
  <c r="R19" i="105"/>
  <c r="X19" i="105"/>
  <c r="Q19" i="105"/>
  <c r="F19" i="105"/>
  <c r="K19" i="105"/>
  <c r="Y19" i="105"/>
  <c r="U19" i="105"/>
  <c r="S19" i="105"/>
  <c r="G19" i="105"/>
  <c r="M19" i="89"/>
  <c r="D19" i="108"/>
  <c r="Z19" i="52"/>
  <c r="B19" i="52"/>
  <c r="L19" i="52"/>
  <c r="E19" i="52"/>
  <c r="Q19" i="52"/>
  <c r="D19" i="52"/>
  <c r="U19" i="52"/>
  <c r="J19" i="52"/>
  <c r="F19" i="52"/>
  <c r="V19" i="52"/>
  <c r="K19" i="52"/>
  <c r="T19" i="52"/>
  <c r="W19" i="52"/>
  <c r="S19" i="52"/>
  <c r="X19" i="52"/>
  <c r="I19" i="52"/>
  <c r="Y19" i="52"/>
  <c r="R19" i="52"/>
  <c r="P19" i="89"/>
  <c r="Z19" i="93"/>
  <c r="B19" i="93"/>
  <c r="L19" i="93"/>
  <c r="K19" i="93"/>
  <c r="F19" i="93"/>
  <c r="E19" i="93"/>
  <c r="I19" i="93"/>
  <c r="V19" i="93"/>
  <c r="Q19" i="93"/>
  <c r="U19" i="93"/>
  <c r="J19" i="93"/>
  <c r="T19" i="93"/>
  <c r="Y19" i="93"/>
  <c r="R19" i="93"/>
  <c r="X19" i="93"/>
  <c r="S19" i="93"/>
  <c r="W19" i="93"/>
  <c r="N19" i="101"/>
  <c r="D19" i="105"/>
  <c r="Z19" i="101"/>
  <c r="B19" i="101"/>
  <c r="L19" i="101"/>
  <c r="E19" i="101"/>
  <c r="Q19" i="101"/>
  <c r="T19" i="101"/>
  <c r="F19" i="101"/>
  <c r="X19" i="101"/>
  <c r="V19" i="101"/>
  <c r="U19" i="101"/>
  <c r="I19" i="101"/>
  <c r="Y19" i="101"/>
  <c r="K19" i="101"/>
  <c r="S19" i="101"/>
  <c r="J19" i="101"/>
  <c r="R19" i="101"/>
  <c r="W19" i="101"/>
  <c r="P19" i="108"/>
  <c r="P19" i="93"/>
  <c r="P19" i="52"/>
  <c r="N19" i="93"/>
  <c r="D19" i="96"/>
  <c r="G19" i="93"/>
  <c r="O19" i="52"/>
  <c r="Z19" i="108"/>
  <c r="B19" i="108"/>
  <c r="L19" i="108"/>
  <c r="I19" i="108"/>
  <c r="T19" i="108"/>
  <c r="Y19" i="108"/>
  <c r="R19" i="108"/>
  <c r="S19" i="108"/>
  <c r="W19" i="108"/>
  <c r="Q19" i="108"/>
  <c r="K19" i="108"/>
  <c r="J19" i="108"/>
  <c r="X19" i="108"/>
  <c r="E19" i="108"/>
  <c r="U19" i="108"/>
  <c r="V19" i="108"/>
  <c r="F19" i="108"/>
  <c r="M19" i="96"/>
  <c r="N19" i="52"/>
  <c r="H19" i="96"/>
  <c r="G19" i="89"/>
  <c r="P19" i="101"/>
  <c r="H19" i="108"/>
  <c r="H19" i="52"/>
  <c r="O19" i="89"/>
  <c r="C19" i="105"/>
  <c r="Z19" i="96"/>
  <c r="B19" i="96"/>
  <c r="L19" i="96"/>
  <c r="T19" i="96"/>
  <c r="Q19" i="96"/>
  <c r="J19" i="96"/>
  <c r="K19" i="96"/>
  <c r="W19" i="96"/>
  <c r="F19" i="96"/>
  <c r="U19" i="96"/>
  <c r="E19" i="96"/>
  <c r="X19" i="96"/>
  <c r="I19" i="96"/>
  <c r="R19" i="96"/>
  <c r="Y19" i="96"/>
  <c r="V19" i="96"/>
  <c r="S19" i="96"/>
  <c r="H19" i="89"/>
  <c r="P19" i="105"/>
  <c r="G19" i="96"/>
  <c r="Z19" i="61"/>
  <c r="B19" i="61"/>
  <c r="L19" i="61"/>
  <c r="W19" i="61"/>
  <c r="U19" i="61"/>
  <c r="T19" i="61"/>
  <c r="I19" i="61"/>
  <c r="X19" i="61"/>
  <c r="K19" i="61"/>
  <c r="Q19" i="61"/>
  <c r="S19" i="61"/>
  <c r="F19" i="61"/>
  <c r="V19" i="61"/>
  <c r="Y19" i="61"/>
  <c r="J19" i="61"/>
  <c r="E19" i="61"/>
  <c r="R19" i="61"/>
  <c r="O19" i="105"/>
  <c r="Z19" i="112"/>
  <c r="B19" i="112"/>
  <c r="L19" i="112"/>
  <c r="R19" i="112"/>
  <c r="K19" i="112"/>
  <c r="S19" i="112"/>
  <c r="W19" i="112"/>
  <c r="V19" i="112"/>
  <c r="X19" i="112"/>
  <c r="T19" i="112"/>
  <c r="Q19" i="112"/>
  <c r="I19" i="112"/>
  <c r="U19" i="112"/>
  <c r="F19" i="112"/>
  <c r="E19" i="112"/>
  <c r="Y19" i="112"/>
  <c r="J19" i="112"/>
  <c r="N19" i="89"/>
  <c r="N19" i="108"/>
  <c r="C19" i="112"/>
  <c r="O19" i="108"/>
  <c r="M19" i="112"/>
  <c r="O19" i="96"/>
  <c r="D19" i="89"/>
  <c r="G19" i="112"/>
  <c r="G19" i="52"/>
  <c r="M19" i="61"/>
  <c r="N19" i="112"/>
  <c r="M19" i="93"/>
  <c r="P19" i="96"/>
  <c r="H19" i="105"/>
  <c r="Y19" i="15"/>
  <c r="M19" i="15"/>
  <c r="L19" i="15"/>
  <c r="T19" i="15"/>
  <c r="I19" i="15"/>
  <c r="O19" i="15"/>
  <c r="X19" i="15"/>
  <c r="G19" i="15"/>
  <c r="U19" i="15"/>
  <c r="Q19" i="15"/>
  <c r="B14" i="93"/>
  <c r="Z19" i="15"/>
  <c r="B19" i="15"/>
  <c r="C19" i="15"/>
  <c r="K19" i="15"/>
  <c r="F19" i="15"/>
  <c r="J19" i="15"/>
  <c r="D19" i="15"/>
  <c r="V19" i="15"/>
  <c r="R19" i="15"/>
  <c r="P19" i="15"/>
  <c r="E19" i="15"/>
  <c r="N19" i="15"/>
  <c r="H19" i="15"/>
  <c r="W19" i="15"/>
  <c r="B14" i="83"/>
  <c r="B14" i="112"/>
  <c r="F20" i="282"/>
  <c r="T20" i="282"/>
  <c r="R20" i="282"/>
  <c r="H20" i="282"/>
  <c r="I20" i="282"/>
  <c r="Q20" i="282"/>
  <c r="B14" i="101"/>
  <c r="B14" i="108"/>
  <c r="B14" i="96"/>
  <c r="B14" i="89"/>
  <c r="A2" i="84"/>
  <c r="A2" i="63"/>
  <c r="B3" i="63" s="1"/>
  <c r="B14" i="61"/>
  <c r="C19" i="45"/>
  <c r="B14" i="51"/>
  <c r="B14" i="52"/>
  <c r="J19" i="45"/>
  <c r="R19" i="45"/>
  <c r="N19" i="45"/>
  <c r="I19" i="45"/>
  <c r="G19" i="45"/>
  <c r="Y19" i="45"/>
  <c r="U19" i="45"/>
  <c r="L19" i="45"/>
  <c r="X19" i="45"/>
  <c r="T19" i="45"/>
  <c r="V19" i="45"/>
  <c r="Q19" i="45"/>
  <c r="O19" i="45"/>
  <c r="S19" i="45"/>
  <c r="W19" i="45"/>
  <c r="Z19" i="45"/>
  <c r="M19" i="45"/>
  <c r="H19" i="45"/>
  <c r="B19" i="45"/>
  <c r="E19" i="45"/>
  <c r="K19" i="45"/>
  <c r="F19" i="45"/>
  <c r="D19" i="45"/>
  <c r="B2" i="33"/>
  <c r="D5" i="33"/>
  <c r="L5" i="33"/>
  <c r="I5" i="33"/>
  <c r="I6" i="33" s="1"/>
  <c r="H5" i="33"/>
  <c r="P5" i="33"/>
  <c r="P6" i="33" s="1"/>
  <c r="E5" i="33"/>
  <c r="E6" i="33" s="1"/>
  <c r="Q4" i="33"/>
  <c r="N5" i="33"/>
  <c r="N6" i="33" s="1"/>
  <c r="H6" i="33"/>
  <c r="M5" i="33"/>
  <c r="M6" i="33" s="1"/>
  <c r="F5" i="33"/>
  <c r="F6" i="33" s="1"/>
  <c r="J5" i="33"/>
  <c r="J6" i="33" s="1"/>
  <c r="D6" i="33"/>
  <c r="L6" i="33"/>
  <c r="C5" i="33"/>
  <c r="C6" i="33" s="1"/>
  <c r="C7" i="33" s="1"/>
  <c r="G5" i="33"/>
  <c r="G6" i="33" s="1"/>
  <c r="K5" i="33"/>
  <c r="K6" i="33" s="1"/>
  <c r="O5" i="33"/>
  <c r="O6" i="33" s="1"/>
  <c r="J7" i="33" l="1"/>
  <c r="Z39" i="15"/>
  <c r="G3" i="84"/>
  <c r="T3" i="84"/>
  <c r="U3" i="84"/>
  <c r="A3" i="84"/>
  <c r="L3" i="84"/>
  <c r="Q3" i="84"/>
  <c r="M3" i="84"/>
  <c r="O3" i="84"/>
  <c r="D3" i="84"/>
  <c r="E3" i="84"/>
  <c r="X3" i="84"/>
  <c r="V3" i="84"/>
  <c r="W3" i="84"/>
  <c r="N3" i="84"/>
  <c r="S3" i="84"/>
  <c r="P3" i="84"/>
  <c r="K3" i="84"/>
  <c r="R3" i="84"/>
  <c r="H3" i="84"/>
  <c r="F3" i="84"/>
  <c r="Y3" i="84"/>
  <c r="I3" i="84"/>
  <c r="C3" i="84"/>
  <c r="B3" i="84"/>
  <c r="J3" i="84"/>
  <c r="C3" i="63"/>
  <c r="R3" i="63"/>
  <c r="Q3" i="63"/>
  <c r="E3" i="63"/>
  <c r="L3" i="63"/>
  <c r="N3" i="63"/>
  <c r="T3" i="63"/>
  <c r="P3" i="63"/>
  <c r="W3" i="63"/>
  <c r="O3" i="63"/>
  <c r="Y3" i="63"/>
  <c r="S3" i="63"/>
  <c r="V3" i="63"/>
  <c r="X3" i="63"/>
  <c r="G3" i="63"/>
  <c r="M3" i="63"/>
  <c r="U3" i="63"/>
  <c r="A3" i="63"/>
  <c r="D3" i="63"/>
  <c r="K3" i="63"/>
  <c r="H3" i="63"/>
  <c r="F3" i="63"/>
  <c r="J3" i="63"/>
  <c r="I3" i="63"/>
  <c r="L39" i="15"/>
  <c r="P39" i="15"/>
  <c r="M39" i="15"/>
  <c r="Y39" i="15"/>
  <c r="Q39" i="15"/>
  <c r="N39" i="15"/>
  <c r="R39" i="15"/>
  <c r="O39" i="15"/>
  <c r="W39" i="15"/>
  <c r="X39" i="15"/>
  <c r="H39" i="15"/>
  <c r="G39" i="15"/>
  <c r="V39" i="15"/>
  <c r="I39" i="15"/>
  <c r="T39" i="15"/>
  <c r="U39" i="15"/>
  <c r="S39" i="15"/>
  <c r="I1" i="15"/>
  <c r="F1" i="15"/>
  <c r="I10" i="33"/>
  <c r="C8" i="33"/>
  <c r="C9" i="33" s="1"/>
  <c r="I11" i="33"/>
  <c r="I13" i="33" s="1"/>
  <c r="F39" i="15" l="1"/>
  <c r="J39" i="15"/>
  <c r="D39" i="15"/>
  <c r="K39" i="15"/>
  <c r="C39" i="15"/>
  <c r="D14" i="15"/>
  <c r="F3" i="53" l="1"/>
  <c r="G3" i="53"/>
  <c r="A3" i="53"/>
  <c r="L3" i="53"/>
  <c r="H3" i="53"/>
  <c r="E3" i="53"/>
  <c r="D3" i="53"/>
  <c r="Y3" i="53"/>
  <c r="R3" i="53"/>
  <c r="T3" i="53"/>
  <c r="N3" i="53"/>
  <c r="U3" i="53"/>
  <c r="K3" i="53"/>
  <c r="O3" i="53"/>
  <c r="S3" i="53"/>
  <c r="P3" i="53"/>
  <c r="X3" i="53"/>
  <c r="W3" i="53"/>
  <c r="C3" i="53"/>
  <c r="M3" i="53"/>
  <c r="Q3" i="53"/>
  <c r="V3" i="53"/>
  <c r="J3" i="53"/>
  <c r="B3" i="53"/>
  <c r="I3" i="53"/>
  <c r="H1" i="15" l="1"/>
  <c r="M14" i="15" l="1"/>
  <c r="M1" i="15"/>
  <c r="G1" i="15"/>
  <c r="L14" i="15"/>
  <c r="L1" i="15"/>
  <c r="N14" i="15"/>
  <c r="N1" i="15"/>
  <c r="O14" i="15"/>
  <c r="O1" i="15"/>
  <c r="E1" i="15" l="1"/>
  <c r="K1" i="15" l="1"/>
  <c r="K14" i="15" s="1"/>
  <c r="J1" i="15"/>
  <c r="J14" i="15" s="1"/>
  <c r="B2" i="15"/>
  <c r="B5" i="15"/>
  <c r="B2" i="55"/>
  <c r="A2" i="55" s="1"/>
  <c r="B14" i="15" l="1"/>
  <c r="K3" i="55"/>
  <c r="I3" i="55"/>
  <c r="H3" i="55"/>
  <c r="U3" i="55"/>
  <c r="R3" i="55"/>
  <c r="V3" i="55"/>
  <c r="X3" i="55"/>
  <c r="N3" i="55"/>
  <c r="B3" i="55"/>
  <c r="P3" i="55"/>
  <c r="M3" i="55"/>
  <c r="T3" i="55"/>
  <c r="J3" i="55"/>
  <c r="L3" i="55"/>
  <c r="Y3" i="55"/>
  <c r="D3" i="55"/>
  <c r="C3" i="55"/>
  <c r="Q3" i="55"/>
  <c r="A2" i="2"/>
  <c r="A3" i="55"/>
  <c r="E3" i="55"/>
  <c r="S3" i="55"/>
  <c r="W3" i="55"/>
  <c r="G3" i="55"/>
  <c r="O3" i="55"/>
  <c r="F3" i="55"/>
  <c r="N3" i="2" l="1"/>
  <c r="J3" i="2"/>
  <c r="C18" i="49" s="1"/>
  <c r="Q3" i="2"/>
  <c r="G3" i="2"/>
  <c r="X3" i="2"/>
  <c r="K3" i="2"/>
  <c r="F3" i="2"/>
  <c r="C14" i="35" s="1"/>
  <c r="I3" i="2"/>
  <c r="P3" i="2"/>
  <c r="Y3" i="2"/>
  <c r="L3" i="2"/>
  <c r="U3" i="2"/>
  <c r="A3" i="2"/>
  <c r="C9" i="35" s="1"/>
  <c r="T3" i="2"/>
  <c r="O3" i="2"/>
  <c r="E3" i="2"/>
  <c r="R3" i="2"/>
  <c r="V3" i="2"/>
  <c r="D3" i="2"/>
  <c r="C12" i="50" s="1"/>
  <c r="H3" i="2"/>
  <c r="C16" i="281" s="1"/>
  <c r="C3" i="2"/>
  <c r="C11" i="49" s="1"/>
  <c r="S3" i="2"/>
  <c r="M3" i="2"/>
  <c r="W3" i="2"/>
  <c r="B3" i="2"/>
  <c r="C10" i="35" s="1"/>
  <c r="C10" i="49" l="1"/>
  <c r="C9" i="49"/>
  <c r="C25" i="102"/>
  <c r="I25" i="102" s="1"/>
  <c r="C25" i="50"/>
  <c r="I25" i="50" s="1"/>
  <c r="C25" i="49"/>
  <c r="I25" i="49" s="1"/>
  <c r="C25" i="94"/>
  <c r="I25" i="94" s="1"/>
  <c r="C25" i="59"/>
  <c r="I25" i="59" s="1"/>
  <c r="C25" i="82"/>
  <c r="I25" i="82" s="1"/>
  <c r="C25" i="111"/>
  <c r="I25" i="111" s="1"/>
  <c r="C25" i="281"/>
  <c r="I25" i="281" s="1"/>
  <c r="C25" i="106"/>
  <c r="I25" i="106" s="1"/>
  <c r="C25" i="95"/>
  <c r="I25" i="95" s="1"/>
  <c r="C25" i="90"/>
  <c r="I25" i="90" s="1"/>
  <c r="C25" i="107"/>
  <c r="I25" i="107" s="1"/>
  <c r="I18" i="49"/>
  <c r="J18" i="49" s="1"/>
  <c r="C18" i="94"/>
  <c r="I18" i="94" s="1"/>
  <c r="J18" i="94" s="1"/>
  <c r="C18" i="95"/>
  <c r="I18" i="95" s="1"/>
  <c r="J18" i="95" s="1"/>
  <c r="C18" i="90"/>
  <c r="I18" i="90" s="1"/>
  <c r="J18" i="90" s="1"/>
  <c r="C18" i="82"/>
  <c r="I18" i="82" s="1"/>
  <c r="J18" i="82" s="1"/>
  <c r="C18" i="59"/>
  <c r="I18" i="59" s="1"/>
  <c r="J18" i="59" s="1"/>
  <c r="C18" i="107"/>
  <c r="I18" i="107" s="1"/>
  <c r="J18" i="107" s="1"/>
  <c r="C18" i="281"/>
  <c r="I18" i="281" s="1"/>
  <c r="J18" i="281" s="1"/>
  <c r="C18" i="50"/>
  <c r="I18" i="50" s="1"/>
  <c r="J18" i="50" s="1"/>
  <c r="C18" i="102"/>
  <c r="I18" i="102" s="1"/>
  <c r="J18" i="102" s="1"/>
  <c r="C18" i="111"/>
  <c r="I18" i="111" s="1"/>
  <c r="J18" i="111" s="1"/>
  <c r="C18" i="106"/>
  <c r="I18" i="106" s="1"/>
  <c r="J18" i="106" s="1"/>
  <c r="C12" i="35"/>
  <c r="I12" i="35" s="1"/>
  <c r="J12" i="35" s="1"/>
  <c r="C12" i="94"/>
  <c r="I12" i="94" s="1"/>
  <c r="J12" i="94" s="1"/>
  <c r="I12" i="50"/>
  <c r="J12" i="50" s="1"/>
  <c r="C12" i="82"/>
  <c r="I12" i="82" s="1"/>
  <c r="J12" i="82" s="1"/>
  <c r="C12" i="111"/>
  <c r="I12" i="111" s="1"/>
  <c r="C12" i="281"/>
  <c r="I12" i="281" s="1"/>
  <c r="J12" i="281" s="1"/>
  <c r="C12" i="106"/>
  <c r="I12" i="106" s="1"/>
  <c r="C12" i="59"/>
  <c r="I12" i="59" s="1"/>
  <c r="J12" i="59" s="1"/>
  <c r="C12" i="49"/>
  <c r="I12" i="49" s="1"/>
  <c r="J12" i="49" s="1"/>
  <c r="C12" i="102"/>
  <c r="I12" i="102" s="1"/>
  <c r="C12" i="95"/>
  <c r="I12" i="95" s="1"/>
  <c r="J12" i="95" s="1"/>
  <c r="C12" i="90"/>
  <c r="I12" i="90" s="1"/>
  <c r="J12" i="90" s="1"/>
  <c r="C12" i="107"/>
  <c r="I12" i="107" s="1"/>
  <c r="C23" i="59"/>
  <c r="I23" i="59" s="1"/>
  <c r="C23" i="107"/>
  <c r="I23" i="107" s="1"/>
  <c r="C23" i="49"/>
  <c r="I23" i="49" s="1"/>
  <c r="C23" i="102"/>
  <c r="I23" i="102" s="1"/>
  <c r="C23" i="50"/>
  <c r="I23" i="50" s="1"/>
  <c r="C23" i="94"/>
  <c r="I23" i="94" s="1"/>
  <c r="C23" i="82"/>
  <c r="I23" i="82" s="1"/>
  <c r="C23" i="111"/>
  <c r="I23" i="111" s="1"/>
  <c r="C23" i="281"/>
  <c r="I23" i="281" s="1"/>
  <c r="C23" i="95"/>
  <c r="I23" i="95" s="1"/>
  <c r="J23" i="95" s="1"/>
  <c r="C23" i="106"/>
  <c r="I23" i="106" s="1"/>
  <c r="C23" i="90"/>
  <c r="I23" i="90" s="1"/>
  <c r="C13" i="35"/>
  <c r="C13" i="82"/>
  <c r="I13" i="82" s="1"/>
  <c r="J13" i="82" s="1"/>
  <c r="C13" i="111"/>
  <c r="I13" i="111" s="1"/>
  <c r="C13" i="281"/>
  <c r="I13" i="281" s="1"/>
  <c r="J13" i="281" s="1"/>
  <c r="C13" i="106"/>
  <c r="I13" i="106" s="1"/>
  <c r="C13" i="90"/>
  <c r="I13" i="90" s="1"/>
  <c r="J13" i="90" s="1"/>
  <c r="C13" i="49"/>
  <c r="O13" i="49" s="1"/>
  <c r="H12" i="302" s="1"/>
  <c r="C13" i="95"/>
  <c r="I13" i="95" s="1"/>
  <c r="J13" i="95" s="1"/>
  <c r="C13" i="59"/>
  <c r="I13" i="59" s="1"/>
  <c r="J13" i="59" s="1"/>
  <c r="C13" i="102"/>
  <c r="I13" i="102" s="1"/>
  <c r="C13" i="50"/>
  <c r="I13" i="50" s="1"/>
  <c r="J13" i="50" s="1"/>
  <c r="C13" i="107"/>
  <c r="I13" i="107" s="1"/>
  <c r="C13" i="94"/>
  <c r="I13" i="94" s="1"/>
  <c r="J13" i="94" s="1"/>
  <c r="C29" i="82"/>
  <c r="I29" i="82" s="1"/>
  <c r="C29" i="111"/>
  <c r="I29" i="111" s="1"/>
  <c r="C29" i="90"/>
  <c r="I29" i="90" s="1"/>
  <c r="C29" i="281"/>
  <c r="I29" i="281" s="1"/>
  <c r="C29" i="106"/>
  <c r="I29" i="106" s="1"/>
  <c r="C29" i="59"/>
  <c r="I29" i="59" s="1"/>
  <c r="C29" i="49"/>
  <c r="I29" i="49" s="1"/>
  <c r="C29" i="95"/>
  <c r="I29" i="95" s="1"/>
  <c r="C29" i="50"/>
  <c r="I29" i="50" s="1"/>
  <c r="C29" i="107"/>
  <c r="I29" i="107" s="1"/>
  <c r="C29" i="102"/>
  <c r="I29" i="102" s="1"/>
  <c r="C29" i="94"/>
  <c r="I29" i="94" s="1"/>
  <c r="C17" i="106"/>
  <c r="I17" i="106" s="1"/>
  <c r="J17" i="106" s="1"/>
  <c r="C17" i="82"/>
  <c r="I17" i="82" s="1"/>
  <c r="J17" i="82" s="1"/>
  <c r="C17" i="49"/>
  <c r="I17" i="49" s="1"/>
  <c r="J17" i="49" s="1"/>
  <c r="C17" i="95"/>
  <c r="I17" i="95" s="1"/>
  <c r="J17" i="95" s="1"/>
  <c r="C17" i="94"/>
  <c r="I17" i="94" s="1"/>
  <c r="J17" i="94" s="1"/>
  <c r="C17" i="90"/>
  <c r="I17" i="90" s="1"/>
  <c r="J17" i="90" s="1"/>
  <c r="C17" i="59"/>
  <c r="I17" i="59" s="1"/>
  <c r="J17" i="59" s="1"/>
  <c r="C17" i="107"/>
  <c r="I17" i="107" s="1"/>
  <c r="J17" i="107" s="1"/>
  <c r="C17" i="111"/>
  <c r="I17" i="111" s="1"/>
  <c r="J17" i="111" s="1"/>
  <c r="C17" i="102"/>
  <c r="I17" i="102" s="1"/>
  <c r="J17" i="102" s="1"/>
  <c r="C17" i="50"/>
  <c r="I17" i="50" s="1"/>
  <c r="J17" i="50" s="1"/>
  <c r="C17" i="281"/>
  <c r="I17" i="281" s="1"/>
  <c r="C28" i="94"/>
  <c r="I28" i="94" s="1"/>
  <c r="J28" i="94" s="1"/>
  <c r="C28" i="107"/>
  <c r="I28" i="107" s="1"/>
  <c r="C28" i="102"/>
  <c r="I28" i="102" s="1"/>
  <c r="C28" i="82"/>
  <c r="I28" i="82" s="1"/>
  <c r="J28" i="82" s="1"/>
  <c r="C28" i="111"/>
  <c r="I28" i="111" s="1"/>
  <c r="C28" i="281"/>
  <c r="I28" i="281" s="1"/>
  <c r="J28" i="281" s="1"/>
  <c r="C28" i="59"/>
  <c r="I28" i="59" s="1"/>
  <c r="J28" i="59" s="1"/>
  <c r="C28" i="106"/>
  <c r="I28" i="106" s="1"/>
  <c r="C28" i="49"/>
  <c r="I28" i="49" s="1"/>
  <c r="J28" i="49" s="1"/>
  <c r="C28" i="95"/>
  <c r="I28" i="95" s="1"/>
  <c r="C28" i="90"/>
  <c r="I28" i="90" s="1"/>
  <c r="J28" i="90" s="1"/>
  <c r="C28" i="50"/>
  <c r="I28" i="50" s="1"/>
  <c r="J28" i="50" s="1"/>
  <c r="C10" i="102"/>
  <c r="I10" i="102" s="1"/>
  <c r="J10" i="102" s="1"/>
  <c r="C10" i="50"/>
  <c r="I10" i="50" s="1"/>
  <c r="J10" i="50" s="1"/>
  <c r="I10" i="49"/>
  <c r="J10" i="49" s="1"/>
  <c r="C10" i="107"/>
  <c r="I10" i="107" s="1"/>
  <c r="J10" i="107" s="1"/>
  <c r="C10" i="94"/>
  <c r="I10" i="94" s="1"/>
  <c r="J10" i="94" s="1"/>
  <c r="C10" i="82"/>
  <c r="I10" i="82" s="1"/>
  <c r="J10" i="82" s="1"/>
  <c r="C10" i="111"/>
  <c r="I10" i="111" s="1"/>
  <c r="J10" i="111" s="1"/>
  <c r="C10" i="281"/>
  <c r="I10" i="281" s="1"/>
  <c r="J10" i="281" s="1"/>
  <c r="C10" i="106"/>
  <c r="I10" i="106" s="1"/>
  <c r="J10" i="106" s="1"/>
  <c r="C10" i="95"/>
  <c r="I10" i="95" s="1"/>
  <c r="J10" i="95" s="1"/>
  <c r="C10" i="90"/>
  <c r="I10" i="90" s="1"/>
  <c r="J10" i="90" s="1"/>
  <c r="C10" i="59"/>
  <c r="I10" i="59" s="1"/>
  <c r="J10" i="59" s="1"/>
  <c r="C14" i="82"/>
  <c r="C14" i="111"/>
  <c r="C14" i="281"/>
  <c r="C14" i="106"/>
  <c r="C14" i="49"/>
  <c r="I14" i="49" s="1"/>
  <c r="C14" i="95"/>
  <c r="C14" i="94"/>
  <c r="C14" i="90"/>
  <c r="C14" i="102"/>
  <c r="C14" i="59"/>
  <c r="C14" i="107"/>
  <c r="C14" i="50"/>
  <c r="C30" i="82"/>
  <c r="I30" i="82" s="1"/>
  <c r="C30" i="111"/>
  <c r="I30" i="111" s="1"/>
  <c r="C30" i="50"/>
  <c r="I30" i="50" s="1"/>
  <c r="C30" i="281"/>
  <c r="I30" i="281" s="1"/>
  <c r="C30" i="106"/>
  <c r="I30" i="106" s="1"/>
  <c r="C30" i="102"/>
  <c r="I30" i="102" s="1"/>
  <c r="C30" i="49"/>
  <c r="I30" i="49" s="1"/>
  <c r="C30" i="95"/>
  <c r="I30" i="95" s="1"/>
  <c r="C30" i="90"/>
  <c r="I30" i="90" s="1"/>
  <c r="C30" i="59"/>
  <c r="I30" i="59" s="1"/>
  <c r="C30" i="107"/>
  <c r="I30" i="107" s="1"/>
  <c r="C30" i="94"/>
  <c r="I30" i="94" s="1"/>
  <c r="C9" i="102"/>
  <c r="C9" i="94"/>
  <c r="C9" i="82"/>
  <c r="C9" i="95"/>
  <c r="C9" i="90"/>
  <c r="C9" i="111"/>
  <c r="C9" i="281"/>
  <c r="I9" i="281" s="1"/>
  <c r="C9" i="106"/>
  <c r="C9" i="50"/>
  <c r="C9" i="59"/>
  <c r="C9" i="107"/>
  <c r="C33" i="106"/>
  <c r="C33" i="49"/>
  <c r="C33" i="95"/>
  <c r="C33" i="90"/>
  <c r="C33" i="59"/>
  <c r="C33" i="107"/>
  <c r="C33" i="94"/>
  <c r="C33" i="102"/>
  <c r="C33" i="50"/>
  <c r="C33" i="82"/>
  <c r="C33" i="111"/>
  <c r="C33" i="281"/>
  <c r="C31" i="111"/>
  <c r="I31" i="111" s="1"/>
  <c r="C31" i="281"/>
  <c r="I31" i="281" s="1"/>
  <c r="C31" i="102"/>
  <c r="I31" i="102" s="1"/>
  <c r="C31" i="106"/>
  <c r="I31" i="106" s="1"/>
  <c r="C31" i="49"/>
  <c r="I31" i="49" s="1"/>
  <c r="C31" i="95"/>
  <c r="I31" i="95" s="1"/>
  <c r="C31" i="94"/>
  <c r="I31" i="94" s="1"/>
  <c r="C31" i="59"/>
  <c r="I31" i="59" s="1"/>
  <c r="C31" i="90"/>
  <c r="I31" i="90" s="1"/>
  <c r="C31" i="50"/>
  <c r="I31" i="50" s="1"/>
  <c r="C31" i="107"/>
  <c r="I31" i="107" s="1"/>
  <c r="C31" i="82"/>
  <c r="I31" i="82" s="1"/>
  <c r="C27" i="94"/>
  <c r="I27" i="94" s="1"/>
  <c r="C27" i="90"/>
  <c r="I27" i="90" s="1"/>
  <c r="C27" i="82"/>
  <c r="I27" i="82" s="1"/>
  <c r="C27" i="111"/>
  <c r="I27" i="111" s="1"/>
  <c r="C27" i="281"/>
  <c r="I27" i="281" s="1"/>
  <c r="C27" i="106"/>
  <c r="I27" i="106" s="1"/>
  <c r="C27" i="49"/>
  <c r="I27" i="49" s="1"/>
  <c r="C27" i="95"/>
  <c r="I27" i="95" s="1"/>
  <c r="C27" i="59"/>
  <c r="I27" i="59" s="1"/>
  <c r="C27" i="107"/>
  <c r="I27" i="107" s="1"/>
  <c r="C27" i="102"/>
  <c r="I27" i="102" s="1"/>
  <c r="C27" i="50"/>
  <c r="I27" i="50" s="1"/>
  <c r="C19" i="35"/>
  <c r="I19" i="35" s="1"/>
  <c r="J19" i="35" s="1"/>
  <c r="C19" i="95"/>
  <c r="I19" i="95" s="1"/>
  <c r="J19" i="95" s="1"/>
  <c r="C19" i="90"/>
  <c r="I19" i="90" s="1"/>
  <c r="J19" i="90" s="1"/>
  <c r="C19" i="59"/>
  <c r="I19" i="59" s="1"/>
  <c r="J19" i="59" s="1"/>
  <c r="C19" i="107"/>
  <c r="I19" i="107" s="1"/>
  <c r="J19" i="107" s="1"/>
  <c r="C19" i="102"/>
  <c r="I19" i="102" s="1"/>
  <c r="J19" i="102" s="1"/>
  <c r="C19" i="50"/>
  <c r="I19" i="50" s="1"/>
  <c r="J19" i="50" s="1"/>
  <c r="C19" i="281"/>
  <c r="I19" i="281" s="1"/>
  <c r="J19" i="281" s="1"/>
  <c r="C19" i="82"/>
  <c r="I19" i="82" s="1"/>
  <c r="J19" i="82" s="1"/>
  <c r="C19" i="111"/>
  <c r="I19" i="111" s="1"/>
  <c r="J19" i="111" s="1"/>
  <c r="C19" i="94"/>
  <c r="I19" i="94" s="1"/>
  <c r="J19" i="94" s="1"/>
  <c r="C19" i="106"/>
  <c r="I19" i="106" s="1"/>
  <c r="J19" i="106" s="1"/>
  <c r="C19" i="49"/>
  <c r="I19" i="49" s="1"/>
  <c r="J19" i="49" s="1"/>
  <c r="C26" i="102"/>
  <c r="I26" i="102" s="1"/>
  <c r="C26" i="50"/>
  <c r="I26" i="50" s="1"/>
  <c r="C26" i="59"/>
  <c r="I26" i="59" s="1"/>
  <c r="C26" i="94"/>
  <c r="I26" i="94" s="1"/>
  <c r="C26" i="82"/>
  <c r="I26" i="82" s="1"/>
  <c r="C26" i="111"/>
  <c r="I26" i="111" s="1"/>
  <c r="C26" i="281"/>
  <c r="I26" i="281" s="1"/>
  <c r="C26" i="49"/>
  <c r="I26" i="49" s="1"/>
  <c r="C26" i="90"/>
  <c r="I26" i="90" s="1"/>
  <c r="C26" i="106"/>
  <c r="I26" i="106" s="1"/>
  <c r="C26" i="107"/>
  <c r="I26" i="107" s="1"/>
  <c r="C26" i="95"/>
  <c r="I26" i="95" s="1"/>
  <c r="C21" i="90"/>
  <c r="I21" i="90" s="1"/>
  <c r="J21" i="90" s="1"/>
  <c r="C21" i="106"/>
  <c r="I21" i="106" s="1"/>
  <c r="J21" i="106" s="1"/>
  <c r="C21" i="59"/>
  <c r="I21" i="59" s="1"/>
  <c r="J21" i="59" s="1"/>
  <c r="C21" i="107"/>
  <c r="I21" i="107" s="1"/>
  <c r="J21" i="107" s="1"/>
  <c r="C21" i="95"/>
  <c r="I21" i="95" s="1"/>
  <c r="J21" i="95" s="1"/>
  <c r="C21" i="49"/>
  <c r="I21" i="49" s="1"/>
  <c r="J21" i="49" s="1"/>
  <c r="C21" i="102"/>
  <c r="I21" i="102" s="1"/>
  <c r="J21" i="102" s="1"/>
  <c r="C21" i="50"/>
  <c r="I21" i="50" s="1"/>
  <c r="J21" i="50" s="1"/>
  <c r="C21" i="94"/>
  <c r="I21" i="94" s="1"/>
  <c r="J21" i="94" s="1"/>
  <c r="C21" i="82"/>
  <c r="I21" i="82" s="1"/>
  <c r="J21" i="82" s="1"/>
  <c r="C21" i="111"/>
  <c r="I21" i="111" s="1"/>
  <c r="J21" i="111" s="1"/>
  <c r="C21" i="281"/>
  <c r="I21" i="281" s="1"/>
  <c r="J21" i="281" s="1"/>
  <c r="C11" i="35"/>
  <c r="I11" i="35" s="1"/>
  <c r="J11" i="35" s="1"/>
  <c r="C11" i="94"/>
  <c r="I11" i="94" s="1"/>
  <c r="J11" i="94" s="1"/>
  <c r="C11" i="82"/>
  <c r="I11" i="82" s="1"/>
  <c r="J11" i="82" s="1"/>
  <c r="C11" i="111"/>
  <c r="I11" i="111" s="1"/>
  <c r="J11" i="111" s="1"/>
  <c r="C11" i="281"/>
  <c r="I11" i="281" s="1"/>
  <c r="J11" i="281" s="1"/>
  <c r="C11" i="106"/>
  <c r="I11" i="106" s="1"/>
  <c r="J11" i="106" s="1"/>
  <c r="I11" i="49"/>
  <c r="J11" i="49" s="1"/>
  <c r="C11" i="95"/>
  <c r="I11" i="95" s="1"/>
  <c r="J11" i="95" s="1"/>
  <c r="C11" i="107"/>
  <c r="I11" i="107" s="1"/>
  <c r="J11" i="107" s="1"/>
  <c r="C11" i="90"/>
  <c r="I11" i="90" s="1"/>
  <c r="J11" i="90" s="1"/>
  <c r="C11" i="59"/>
  <c r="I11" i="59" s="1"/>
  <c r="J11" i="59" s="1"/>
  <c r="C11" i="102"/>
  <c r="I11" i="102" s="1"/>
  <c r="J11" i="102" s="1"/>
  <c r="C11" i="50"/>
  <c r="I11" i="50" s="1"/>
  <c r="J11" i="50" s="1"/>
  <c r="C32" i="281"/>
  <c r="I32" i="281" s="1"/>
  <c r="C32" i="106"/>
  <c r="I32" i="106" s="1"/>
  <c r="C32" i="50"/>
  <c r="I32" i="50" s="1"/>
  <c r="C32" i="49"/>
  <c r="I32" i="49" s="1"/>
  <c r="C32" i="95"/>
  <c r="I32" i="95" s="1"/>
  <c r="C32" i="90"/>
  <c r="I32" i="90" s="1"/>
  <c r="C32" i="94"/>
  <c r="I32" i="94" s="1"/>
  <c r="C32" i="59"/>
  <c r="I32" i="59" s="1"/>
  <c r="C32" i="107"/>
  <c r="I32" i="107" s="1"/>
  <c r="C32" i="82"/>
  <c r="I32" i="82" s="1"/>
  <c r="C32" i="102"/>
  <c r="I32" i="102" s="1"/>
  <c r="C32" i="111"/>
  <c r="I32" i="111" s="1"/>
  <c r="C22" i="35"/>
  <c r="I22" i="35" s="1"/>
  <c r="J22" i="35" s="1"/>
  <c r="C22" i="59"/>
  <c r="I22" i="59" s="1"/>
  <c r="J22" i="59" s="1"/>
  <c r="C22" i="107"/>
  <c r="I22" i="107" s="1"/>
  <c r="C22" i="49"/>
  <c r="I22" i="49" s="1"/>
  <c r="J22" i="49" s="1"/>
  <c r="C22" i="82"/>
  <c r="I22" i="82" s="1"/>
  <c r="J22" i="82" s="1"/>
  <c r="C22" i="102"/>
  <c r="I22" i="102" s="1"/>
  <c r="C22" i="50"/>
  <c r="I22" i="50" s="1"/>
  <c r="J22" i="50" s="1"/>
  <c r="C22" i="94"/>
  <c r="I22" i="94" s="1"/>
  <c r="J22" i="94" s="1"/>
  <c r="C22" i="111"/>
  <c r="I22" i="111" s="1"/>
  <c r="C22" i="281"/>
  <c r="I22" i="281" s="1"/>
  <c r="J22" i="281" s="1"/>
  <c r="C22" i="106"/>
  <c r="I22" i="106" s="1"/>
  <c r="C22" i="95"/>
  <c r="I22" i="95" s="1"/>
  <c r="J22" i="95" s="1"/>
  <c r="C22" i="90"/>
  <c r="I22" i="90" s="1"/>
  <c r="J22" i="90" s="1"/>
  <c r="C20" i="281"/>
  <c r="I20" i="281" s="1"/>
  <c r="J20" i="281" s="1"/>
  <c r="C20" i="49"/>
  <c r="I20" i="49" s="1"/>
  <c r="J20" i="49" s="1"/>
  <c r="C20" i="90"/>
  <c r="I20" i="90" s="1"/>
  <c r="J20" i="90" s="1"/>
  <c r="C20" i="59"/>
  <c r="I20" i="59" s="1"/>
  <c r="J20" i="59" s="1"/>
  <c r="C20" i="82"/>
  <c r="I20" i="82" s="1"/>
  <c r="J20" i="82" s="1"/>
  <c r="C20" i="107"/>
  <c r="I20" i="107" s="1"/>
  <c r="J20" i="107" s="1"/>
  <c r="C20" i="106"/>
  <c r="I20" i="106" s="1"/>
  <c r="J20" i="106" s="1"/>
  <c r="C20" i="102"/>
  <c r="I20" i="102" s="1"/>
  <c r="J20" i="102" s="1"/>
  <c r="C20" i="50"/>
  <c r="I20" i="50" s="1"/>
  <c r="J20" i="50" s="1"/>
  <c r="C20" i="94"/>
  <c r="I20" i="94" s="1"/>
  <c r="J20" i="94" s="1"/>
  <c r="C20" i="111"/>
  <c r="I20" i="111" s="1"/>
  <c r="J20" i="111" s="1"/>
  <c r="C20" i="95"/>
  <c r="I20" i="95" s="1"/>
  <c r="J20" i="95" s="1"/>
  <c r="C24" i="35"/>
  <c r="I24" i="35" s="1"/>
  <c r="J24" i="35" s="1"/>
  <c r="C24" i="107"/>
  <c r="I24" i="107" s="1"/>
  <c r="C24" i="281"/>
  <c r="I24" i="281" s="1"/>
  <c r="J24" i="281" s="1"/>
  <c r="C24" i="95"/>
  <c r="I24" i="95" s="1"/>
  <c r="C24" i="102"/>
  <c r="I24" i="102" s="1"/>
  <c r="C24" i="50"/>
  <c r="I24" i="50" s="1"/>
  <c r="J24" i="50" s="1"/>
  <c r="C24" i="90"/>
  <c r="I24" i="90" s="1"/>
  <c r="J24" i="90" s="1"/>
  <c r="C24" i="94"/>
  <c r="I24" i="94" s="1"/>
  <c r="J24" i="94" s="1"/>
  <c r="C24" i="82"/>
  <c r="I24" i="82" s="1"/>
  <c r="J24" i="82" s="1"/>
  <c r="C24" i="111"/>
  <c r="I24" i="111" s="1"/>
  <c r="C24" i="49"/>
  <c r="I24" i="49" s="1"/>
  <c r="J24" i="49" s="1"/>
  <c r="C24" i="106"/>
  <c r="I24" i="106" s="1"/>
  <c r="C24" i="59"/>
  <c r="I24" i="59" s="1"/>
  <c r="J24" i="59" s="1"/>
  <c r="I16" i="281"/>
  <c r="C16" i="106"/>
  <c r="I16" i="106" s="1"/>
  <c r="C16" i="49"/>
  <c r="I16" i="49" s="1"/>
  <c r="C16" i="94"/>
  <c r="I16" i="94" s="1"/>
  <c r="C16" i="82"/>
  <c r="I16" i="82" s="1"/>
  <c r="C16" i="95"/>
  <c r="I16" i="95" s="1"/>
  <c r="C16" i="90"/>
  <c r="I16" i="90" s="1"/>
  <c r="C16" i="59"/>
  <c r="I16" i="59" s="1"/>
  <c r="C16" i="50"/>
  <c r="I16" i="50" s="1"/>
  <c r="C16" i="107"/>
  <c r="I16" i="107" s="1"/>
  <c r="C16" i="102"/>
  <c r="I16" i="102" s="1"/>
  <c r="C16" i="111"/>
  <c r="I16" i="111" s="1"/>
  <c r="C15" i="111"/>
  <c r="I15" i="111" s="1"/>
  <c r="C15" i="281"/>
  <c r="I15" i="281" s="1"/>
  <c r="C15" i="59"/>
  <c r="I15" i="59" s="1"/>
  <c r="C15" i="106"/>
  <c r="I15" i="106" s="1"/>
  <c r="C15" i="102"/>
  <c r="I15" i="102" s="1"/>
  <c r="C15" i="94"/>
  <c r="I15" i="94" s="1"/>
  <c r="C15" i="49"/>
  <c r="I15" i="49" s="1"/>
  <c r="C15" i="95"/>
  <c r="I15" i="95" s="1"/>
  <c r="C15" i="90"/>
  <c r="I15" i="90" s="1"/>
  <c r="C15" i="50"/>
  <c r="I15" i="50" s="1"/>
  <c r="C15" i="107"/>
  <c r="I15" i="107" s="1"/>
  <c r="C15" i="82"/>
  <c r="I15" i="82" s="1"/>
  <c r="I9" i="35"/>
  <c r="I10" i="35"/>
  <c r="J10" i="35" s="1"/>
  <c r="C33" i="35"/>
  <c r="C28" i="35"/>
  <c r="I28" i="35" s="1"/>
  <c r="J28" i="35" s="1"/>
  <c r="C27" i="35"/>
  <c r="I27" i="35" s="1"/>
  <c r="J27" i="35" s="1"/>
  <c r="C29" i="35"/>
  <c r="I29" i="35" s="1"/>
  <c r="J29" i="35" s="1"/>
  <c r="C31" i="35"/>
  <c r="I31" i="35" s="1"/>
  <c r="J31" i="35" s="1"/>
  <c r="C16" i="35"/>
  <c r="I16" i="35" s="1"/>
  <c r="J16" i="35" s="1"/>
  <c r="I13" i="35"/>
  <c r="J13" i="35" s="1"/>
  <c r="C20" i="35"/>
  <c r="I20" i="35" s="1"/>
  <c r="J20" i="35" s="1"/>
  <c r="C17" i="35"/>
  <c r="I17" i="35" s="1"/>
  <c r="J17" i="35" s="1"/>
  <c r="C25" i="35"/>
  <c r="I25" i="35" s="1"/>
  <c r="J25" i="35" s="1"/>
  <c r="C23" i="35"/>
  <c r="I23" i="35" s="1"/>
  <c r="J23" i="35" s="1"/>
  <c r="C21" i="35"/>
  <c r="I21" i="35" s="1"/>
  <c r="J21" i="35" s="1"/>
  <c r="C32" i="35"/>
  <c r="I32" i="35" s="1"/>
  <c r="J32" i="35" s="1"/>
  <c r="C18" i="35"/>
  <c r="I18" i="35" s="1"/>
  <c r="J18" i="35" s="1"/>
  <c r="C15" i="35"/>
  <c r="I15" i="35" s="1"/>
  <c r="J15" i="35" s="1"/>
  <c r="C30" i="35"/>
  <c r="I30" i="35" s="1"/>
  <c r="J30" i="35" s="1"/>
  <c r="C26" i="35"/>
  <c r="I26" i="35" s="1"/>
  <c r="J26" i="35" s="1"/>
  <c r="I14" i="281" l="1"/>
  <c r="I33" i="281" s="1"/>
  <c r="H16" i="281"/>
  <c r="I9" i="50"/>
  <c r="I14" i="50"/>
  <c r="J14" i="50" s="1"/>
  <c r="I9" i="106"/>
  <c r="C34" i="106"/>
  <c r="I14" i="82"/>
  <c r="J14" i="82" s="1"/>
  <c r="C34" i="111"/>
  <c r="I9" i="111"/>
  <c r="I9" i="90"/>
  <c r="C34" i="90"/>
  <c r="I9" i="95"/>
  <c r="C34" i="95"/>
  <c r="I9" i="82"/>
  <c r="C34" i="82"/>
  <c r="I14" i="107"/>
  <c r="J14" i="107" s="1"/>
  <c r="C34" i="49"/>
  <c r="I9" i="49"/>
  <c r="C34" i="94"/>
  <c r="I9" i="94"/>
  <c r="I14" i="59"/>
  <c r="J14" i="59" s="1"/>
  <c r="C34" i="50"/>
  <c r="I9" i="102"/>
  <c r="C34" i="102"/>
  <c r="I14" i="102"/>
  <c r="J14" i="102" s="1"/>
  <c r="I13" i="49"/>
  <c r="J13" i="49" s="1"/>
  <c r="I14" i="90"/>
  <c r="I14" i="94"/>
  <c r="J14" i="94" s="1"/>
  <c r="C34" i="281"/>
  <c r="I14" i="95"/>
  <c r="J14" i="95" s="1"/>
  <c r="I9" i="107"/>
  <c r="C34" i="107"/>
  <c r="J14" i="49"/>
  <c r="I14" i="106"/>
  <c r="I9" i="59"/>
  <c r="C34" i="59"/>
  <c r="I14" i="111"/>
  <c r="J14" i="111" s="1"/>
  <c r="J9" i="281"/>
  <c r="I14" i="35"/>
  <c r="I33" i="35" s="1"/>
  <c r="C34" i="35"/>
  <c r="J9" i="35"/>
  <c r="J14" i="281" l="1"/>
  <c r="J33" i="281" s="1"/>
  <c r="I33" i="82"/>
  <c r="H20" i="281"/>
  <c r="K20" i="281" s="1"/>
  <c r="I33" i="111"/>
  <c r="I33" i="59"/>
  <c r="I33" i="95"/>
  <c r="J9" i="106"/>
  <c r="I33" i="106"/>
  <c r="J9" i="107"/>
  <c r="J33" i="107" s="1"/>
  <c r="H20" i="107" s="1"/>
  <c r="K20" i="107" s="1"/>
  <c r="D20" i="107" s="1"/>
  <c r="O20" i="107" s="1"/>
  <c r="O42" i="302" s="1"/>
  <c r="I33" i="107"/>
  <c r="J9" i="90"/>
  <c r="I33" i="90"/>
  <c r="I33" i="102"/>
  <c r="I33" i="49"/>
  <c r="J9" i="50"/>
  <c r="J33" i="50" s="1"/>
  <c r="E6" i="50" s="1"/>
  <c r="I33" i="50"/>
  <c r="I33" i="94"/>
  <c r="H25" i="107"/>
  <c r="K25" i="107" s="1"/>
  <c r="D25" i="107" s="1"/>
  <c r="H30" i="107"/>
  <c r="K30" i="107" s="1"/>
  <c r="D30" i="107" s="1"/>
  <c r="H28" i="107"/>
  <c r="K28" i="107" s="1"/>
  <c r="D28" i="107" s="1"/>
  <c r="H29" i="107"/>
  <c r="K29" i="107" s="1"/>
  <c r="D29" i="107" s="1"/>
  <c r="H31" i="107"/>
  <c r="K31" i="107" s="1"/>
  <c r="D31" i="107" s="1"/>
  <c r="H23" i="107"/>
  <c r="K23" i="107" s="1"/>
  <c r="H15" i="107"/>
  <c r="K15" i="107" s="1"/>
  <c r="D15" i="107" s="1"/>
  <c r="H16" i="107"/>
  <c r="K16" i="107" s="1"/>
  <c r="D16" i="107" s="1"/>
  <c r="F16" i="107" s="1"/>
  <c r="H22" i="107"/>
  <c r="K22" i="107" s="1"/>
  <c r="D22" i="107" s="1"/>
  <c r="H27" i="107"/>
  <c r="K27" i="107" s="1"/>
  <c r="D27" i="107" s="1"/>
  <c r="H13" i="107"/>
  <c r="K13" i="107" s="1"/>
  <c r="D13" i="107" s="1"/>
  <c r="F13" i="107" s="1"/>
  <c r="H32" i="107"/>
  <c r="K32" i="107" s="1"/>
  <c r="D32" i="107" s="1"/>
  <c r="H12" i="107"/>
  <c r="K12" i="107" s="1"/>
  <c r="D12" i="107" s="1"/>
  <c r="F12" i="107" s="1"/>
  <c r="H24" i="107"/>
  <c r="K24" i="107" s="1"/>
  <c r="H26" i="107"/>
  <c r="K26" i="107" s="1"/>
  <c r="D26" i="107" s="1"/>
  <c r="H14" i="281"/>
  <c r="K14" i="281" s="1"/>
  <c r="D14" i="281" s="1"/>
  <c r="H27" i="281"/>
  <c r="K27" i="281" s="1"/>
  <c r="D27" i="281" s="1"/>
  <c r="H31" i="281"/>
  <c r="K31" i="281" s="1"/>
  <c r="D31" i="281" s="1"/>
  <c r="H32" i="281"/>
  <c r="K32" i="281" s="1"/>
  <c r="D32" i="281" s="1"/>
  <c r="H24" i="281"/>
  <c r="K24" i="281" s="1"/>
  <c r="H25" i="281"/>
  <c r="K25" i="281" s="1"/>
  <c r="H26" i="281"/>
  <c r="H30" i="281"/>
  <c r="K30" i="281" s="1"/>
  <c r="D30" i="281" s="1"/>
  <c r="H28" i="281"/>
  <c r="H15" i="281"/>
  <c r="K15" i="281" s="1"/>
  <c r="D15" i="281" s="1"/>
  <c r="H29" i="281"/>
  <c r="K16" i="281"/>
  <c r="D16" i="281" s="1"/>
  <c r="F16" i="281" s="1"/>
  <c r="H23" i="281"/>
  <c r="K23" i="281" s="1"/>
  <c r="J14" i="106"/>
  <c r="J14" i="90"/>
  <c r="J14" i="35"/>
  <c r="J33" i="35" s="1"/>
  <c r="H21" i="35" s="1"/>
  <c r="J9" i="102"/>
  <c r="J33" i="102" s="1"/>
  <c r="J9" i="59"/>
  <c r="J33" i="59" s="1"/>
  <c r="J9" i="82"/>
  <c r="J33" i="82" s="1"/>
  <c r="J9" i="95"/>
  <c r="J33" i="95" s="1"/>
  <c r="J9" i="111"/>
  <c r="J33" i="111" s="1"/>
  <c r="H11" i="107"/>
  <c r="K11" i="107" s="1"/>
  <c r="D11" i="107" s="1"/>
  <c r="H17" i="107"/>
  <c r="K17" i="107" s="1"/>
  <c r="D17" i="107" s="1"/>
  <c r="H18" i="107"/>
  <c r="K18" i="107" s="1"/>
  <c r="D18" i="107" s="1"/>
  <c r="J9" i="94"/>
  <c r="J33" i="94" s="1"/>
  <c r="J9" i="49"/>
  <c r="J33" i="49" s="1"/>
  <c r="E6" i="49" s="1"/>
  <c r="H13" i="281"/>
  <c r="K13" i="281" s="1"/>
  <c r="D13" i="281" s="1"/>
  <c r="O13" i="281" s="1"/>
  <c r="H12" i="281"/>
  <c r="K12" i="281" s="1"/>
  <c r="D12" i="281" s="1"/>
  <c r="F12" i="281" s="1"/>
  <c r="H10" i="281"/>
  <c r="H17" i="281"/>
  <c r="K17" i="281" s="1"/>
  <c r="D17" i="281" s="1"/>
  <c r="O17" i="281" s="1"/>
  <c r="H11" i="281"/>
  <c r="K11" i="281" s="1"/>
  <c r="D11" i="281" s="1"/>
  <c r="H18" i="281"/>
  <c r="K18" i="281" s="1"/>
  <c r="D18" i="281" s="1"/>
  <c r="O18" i="281" s="1"/>
  <c r="E6" i="35" l="1"/>
  <c r="H21" i="281"/>
  <c r="K21" i="281" s="1"/>
  <c r="D21" i="281" s="1"/>
  <c r="O21" i="281" s="1"/>
  <c r="P18" i="302" s="1"/>
  <c r="E6" i="281"/>
  <c r="H19" i="281"/>
  <c r="K19" i="281" s="1"/>
  <c r="D19" i="281" s="1"/>
  <c r="O19" i="281" s="1"/>
  <c r="N18" i="302" s="1"/>
  <c r="H22" i="281"/>
  <c r="K22" i="281" s="1"/>
  <c r="D22" i="281" s="1"/>
  <c r="H21" i="49"/>
  <c r="K21" i="49" s="1"/>
  <c r="D21" i="49" s="1"/>
  <c r="O21" i="49" s="1"/>
  <c r="H20" i="50"/>
  <c r="K20" i="50" s="1"/>
  <c r="D20" i="50" s="1"/>
  <c r="O20" i="50" s="1"/>
  <c r="H9" i="281"/>
  <c r="K9" i="281" s="1"/>
  <c r="G6" i="281"/>
  <c r="C37" i="281" s="1"/>
  <c r="L18" i="302"/>
  <c r="K10" i="281"/>
  <c r="D10" i="281" s="1"/>
  <c r="O10" i="281" s="1"/>
  <c r="E18" i="302" s="1"/>
  <c r="K28" i="281"/>
  <c r="D28" i="281" s="1"/>
  <c r="K29" i="281"/>
  <c r="D29" i="281" s="1"/>
  <c r="K26" i="281"/>
  <c r="D26" i="281" s="1"/>
  <c r="D25" i="281"/>
  <c r="D20" i="281"/>
  <c r="O20" i="281" s="1"/>
  <c r="O18" i="302" s="1"/>
  <c r="J33" i="90"/>
  <c r="H9" i="90" s="1"/>
  <c r="J33" i="106"/>
  <c r="H14" i="106" s="1"/>
  <c r="K14" i="106" s="1"/>
  <c r="D14" i="106" s="1"/>
  <c r="H18" i="302"/>
  <c r="M18" i="302"/>
  <c r="H21" i="107"/>
  <c r="K21" i="107" s="1"/>
  <c r="D21" i="107" s="1"/>
  <c r="O21" i="107" s="1"/>
  <c r="P42" i="302" s="1"/>
  <c r="H19" i="107"/>
  <c r="K19" i="107" s="1"/>
  <c r="D19" i="107" s="1"/>
  <c r="O19" i="107" s="1"/>
  <c r="N42" i="302" s="1"/>
  <c r="H10" i="107"/>
  <c r="K10" i="107" s="1"/>
  <c r="D10" i="107" s="1"/>
  <c r="F10" i="107" s="1"/>
  <c r="H14" i="107"/>
  <c r="K14" i="107" s="1"/>
  <c r="D14" i="107" s="1"/>
  <c r="E6" i="107"/>
  <c r="G6" i="107" s="1"/>
  <c r="Q20" i="108" s="1"/>
  <c r="H9" i="107"/>
  <c r="K9" i="107" s="1"/>
  <c r="F14" i="281"/>
  <c r="O14" i="281"/>
  <c r="I18" i="302" s="1"/>
  <c r="H32" i="111"/>
  <c r="K32" i="111" s="1"/>
  <c r="D32" i="111" s="1"/>
  <c r="H30" i="111"/>
  <c r="K30" i="111" s="1"/>
  <c r="D30" i="111" s="1"/>
  <c r="H16" i="111"/>
  <c r="K16" i="111" s="1"/>
  <c r="D16" i="111" s="1"/>
  <c r="F16" i="111" s="1"/>
  <c r="H19" i="111"/>
  <c r="K19" i="111" s="1"/>
  <c r="D19" i="111" s="1"/>
  <c r="O19" i="111" s="1"/>
  <c r="N45" i="302" s="1"/>
  <c r="H22" i="111"/>
  <c r="K22" i="111" s="1"/>
  <c r="D22" i="111" s="1"/>
  <c r="H23" i="111"/>
  <c r="K23" i="111" s="1"/>
  <c r="H14" i="111"/>
  <c r="K14" i="111" s="1"/>
  <c r="D14" i="111" s="1"/>
  <c r="H13" i="111"/>
  <c r="K13" i="111" s="1"/>
  <c r="D13" i="111" s="1"/>
  <c r="F13" i="111" s="1"/>
  <c r="H27" i="111"/>
  <c r="K27" i="111" s="1"/>
  <c r="D27" i="111" s="1"/>
  <c r="H29" i="111"/>
  <c r="K29" i="111" s="1"/>
  <c r="D29" i="111" s="1"/>
  <c r="H21" i="111"/>
  <c r="K21" i="111" s="1"/>
  <c r="D21" i="111" s="1"/>
  <c r="O21" i="111" s="1"/>
  <c r="P45" i="302" s="1"/>
  <c r="H12" i="111"/>
  <c r="K12" i="111" s="1"/>
  <c r="D12" i="111" s="1"/>
  <c r="F12" i="111" s="1"/>
  <c r="H20" i="111"/>
  <c r="K20" i="111" s="1"/>
  <c r="D20" i="111" s="1"/>
  <c r="O20" i="111" s="1"/>
  <c r="O45" i="302" s="1"/>
  <c r="H28" i="111"/>
  <c r="K28" i="111" s="1"/>
  <c r="D28" i="111" s="1"/>
  <c r="H15" i="111"/>
  <c r="K15" i="111" s="1"/>
  <c r="D15" i="111" s="1"/>
  <c r="H24" i="111"/>
  <c r="K24" i="111" s="1"/>
  <c r="H25" i="111"/>
  <c r="K25" i="111" s="1"/>
  <c r="D25" i="111" s="1"/>
  <c r="H31" i="111"/>
  <c r="K31" i="111" s="1"/>
  <c r="D31" i="111" s="1"/>
  <c r="H26" i="111"/>
  <c r="K26" i="111" s="1"/>
  <c r="D26" i="111" s="1"/>
  <c r="H31" i="106"/>
  <c r="K31" i="106" s="1"/>
  <c r="D31" i="106" s="1"/>
  <c r="H23" i="106"/>
  <c r="K23" i="106" s="1"/>
  <c r="H26" i="106"/>
  <c r="K26" i="106" s="1"/>
  <c r="D26" i="106" s="1"/>
  <c r="H28" i="106"/>
  <c r="K28" i="106" s="1"/>
  <c r="D28" i="106" s="1"/>
  <c r="H13" i="106"/>
  <c r="K13" i="106" s="1"/>
  <c r="D13" i="106" s="1"/>
  <c r="F13" i="106" s="1"/>
  <c r="H29" i="106"/>
  <c r="K29" i="106" s="1"/>
  <c r="D29" i="106" s="1"/>
  <c r="H25" i="106"/>
  <c r="K25" i="106" s="1"/>
  <c r="D25" i="106" s="1"/>
  <c r="H24" i="106"/>
  <c r="K24" i="106" s="1"/>
  <c r="H27" i="106"/>
  <c r="K27" i="106" s="1"/>
  <c r="D27" i="106" s="1"/>
  <c r="H32" i="106"/>
  <c r="K32" i="106" s="1"/>
  <c r="D32" i="106" s="1"/>
  <c r="H30" i="106"/>
  <c r="K30" i="106" s="1"/>
  <c r="D30" i="106" s="1"/>
  <c r="H12" i="106"/>
  <c r="K12" i="106" s="1"/>
  <c r="D12" i="106" s="1"/>
  <c r="F12" i="106" s="1"/>
  <c r="H16" i="106"/>
  <c r="K16" i="106" s="1"/>
  <c r="D16" i="106" s="1"/>
  <c r="F16" i="106" s="1"/>
  <c r="H22" i="106"/>
  <c r="K22" i="106" s="1"/>
  <c r="D22" i="106" s="1"/>
  <c r="H15" i="106"/>
  <c r="K15" i="106" s="1"/>
  <c r="D15" i="106" s="1"/>
  <c r="H32" i="102"/>
  <c r="K32" i="102" s="1"/>
  <c r="D32" i="102" s="1"/>
  <c r="H15" i="102"/>
  <c r="K15" i="102" s="1"/>
  <c r="D15" i="102" s="1"/>
  <c r="H13" i="102"/>
  <c r="K13" i="102" s="1"/>
  <c r="D13" i="102" s="1"/>
  <c r="F13" i="102" s="1"/>
  <c r="H25" i="102"/>
  <c r="K25" i="102" s="1"/>
  <c r="D25" i="102" s="1"/>
  <c r="H30" i="102"/>
  <c r="K30" i="102" s="1"/>
  <c r="D30" i="102" s="1"/>
  <c r="H31" i="102"/>
  <c r="K31" i="102" s="1"/>
  <c r="D31" i="102" s="1"/>
  <c r="H16" i="102"/>
  <c r="K16" i="102" s="1"/>
  <c r="D16" i="102" s="1"/>
  <c r="F16" i="102" s="1"/>
  <c r="H29" i="102"/>
  <c r="K29" i="102" s="1"/>
  <c r="D29" i="102" s="1"/>
  <c r="H23" i="102"/>
  <c r="K23" i="102" s="1"/>
  <c r="H21" i="102"/>
  <c r="K21" i="102" s="1"/>
  <c r="D21" i="102" s="1"/>
  <c r="O21" i="102" s="1"/>
  <c r="P36" i="302" s="1"/>
  <c r="H26" i="102"/>
  <c r="K26" i="102" s="1"/>
  <c r="D26" i="102" s="1"/>
  <c r="H22" i="102"/>
  <c r="K22" i="102" s="1"/>
  <c r="D22" i="102" s="1"/>
  <c r="H28" i="102"/>
  <c r="K28" i="102" s="1"/>
  <c r="D28" i="102" s="1"/>
  <c r="H14" i="102"/>
  <c r="K14" i="102" s="1"/>
  <c r="D14" i="102" s="1"/>
  <c r="H20" i="102"/>
  <c r="K20" i="102" s="1"/>
  <c r="D20" i="102" s="1"/>
  <c r="O20" i="102" s="1"/>
  <c r="O36" i="302" s="1"/>
  <c r="H19" i="102"/>
  <c r="K19" i="102" s="1"/>
  <c r="D19" i="102" s="1"/>
  <c r="O19" i="102" s="1"/>
  <c r="N36" i="302" s="1"/>
  <c r="H12" i="102"/>
  <c r="K12" i="102" s="1"/>
  <c r="D12" i="102" s="1"/>
  <c r="F12" i="102" s="1"/>
  <c r="H24" i="102"/>
  <c r="K24" i="102" s="1"/>
  <c r="H27" i="102"/>
  <c r="K27" i="102" s="1"/>
  <c r="D27" i="102" s="1"/>
  <c r="H32" i="95"/>
  <c r="K32" i="95" s="1"/>
  <c r="D32" i="95" s="1"/>
  <c r="H14" i="95"/>
  <c r="K14" i="95" s="1"/>
  <c r="D14" i="95" s="1"/>
  <c r="H29" i="95"/>
  <c r="K29" i="95" s="1"/>
  <c r="D29" i="95" s="1"/>
  <c r="H26" i="95"/>
  <c r="K26" i="95" s="1"/>
  <c r="D26" i="95" s="1"/>
  <c r="H16" i="95"/>
  <c r="K16" i="95" s="1"/>
  <c r="D16" i="95" s="1"/>
  <c r="F16" i="95" s="1"/>
  <c r="H30" i="95"/>
  <c r="K30" i="95" s="1"/>
  <c r="D30" i="95" s="1"/>
  <c r="H15" i="95"/>
  <c r="K15" i="95" s="1"/>
  <c r="D15" i="95" s="1"/>
  <c r="H31" i="95"/>
  <c r="K31" i="95" s="1"/>
  <c r="D31" i="95" s="1"/>
  <c r="H21" i="95"/>
  <c r="K21" i="95" s="1"/>
  <c r="D21" i="95" s="1"/>
  <c r="O21" i="95" s="1"/>
  <c r="P33" i="302" s="1"/>
  <c r="H24" i="95"/>
  <c r="K24" i="95" s="1"/>
  <c r="D24" i="95" s="1"/>
  <c r="H25" i="95"/>
  <c r="K25" i="95" s="1"/>
  <c r="D25" i="95" s="1"/>
  <c r="H27" i="95"/>
  <c r="K27" i="95" s="1"/>
  <c r="D27" i="95" s="1"/>
  <c r="H28" i="95"/>
  <c r="K28" i="95" s="1"/>
  <c r="D28" i="95" s="1"/>
  <c r="H28" i="94"/>
  <c r="K28" i="94" s="1"/>
  <c r="D28" i="94" s="1"/>
  <c r="H32" i="94"/>
  <c r="K32" i="94" s="1"/>
  <c r="D32" i="94" s="1"/>
  <c r="H29" i="94"/>
  <c r="K29" i="94" s="1"/>
  <c r="D29" i="94" s="1"/>
  <c r="H31" i="94"/>
  <c r="K31" i="94" s="1"/>
  <c r="D31" i="94" s="1"/>
  <c r="H24" i="94"/>
  <c r="K24" i="94" s="1"/>
  <c r="H27" i="94"/>
  <c r="K27" i="94" s="1"/>
  <c r="D27" i="94" s="1"/>
  <c r="H14" i="94"/>
  <c r="K14" i="94" s="1"/>
  <c r="D14" i="94" s="1"/>
  <c r="H16" i="94"/>
  <c r="K16" i="94" s="1"/>
  <c r="D16" i="94" s="1"/>
  <c r="F16" i="94" s="1"/>
  <c r="H26" i="94"/>
  <c r="K26" i="94" s="1"/>
  <c r="D26" i="94" s="1"/>
  <c r="H25" i="94"/>
  <c r="K25" i="94" s="1"/>
  <c r="D25" i="94" s="1"/>
  <c r="H30" i="94"/>
  <c r="K30" i="94" s="1"/>
  <c r="D30" i="94" s="1"/>
  <c r="H21" i="94"/>
  <c r="K21" i="94" s="1"/>
  <c r="D21" i="94" s="1"/>
  <c r="O21" i="94" s="1"/>
  <c r="P30" i="302" s="1"/>
  <c r="H15" i="94"/>
  <c r="K15" i="94" s="1"/>
  <c r="D15" i="94" s="1"/>
  <c r="H23" i="94"/>
  <c r="K23" i="94" s="1"/>
  <c r="H14" i="90"/>
  <c r="K14" i="90" s="1"/>
  <c r="D14" i="90" s="1"/>
  <c r="H24" i="90"/>
  <c r="K24" i="90" s="1"/>
  <c r="H32" i="90"/>
  <c r="K32" i="90" s="1"/>
  <c r="D32" i="90" s="1"/>
  <c r="H27" i="90"/>
  <c r="K27" i="90" s="1"/>
  <c r="D27" i="90" s="1"/>
  <c r="H25" i="90"/>
  <c r="K25" i="90" s="1"/>
  <c r="D25" i="90" s="1"/>
  <c r="H15" i="90"/>
  <c r="K15" i="90" s="1"/>
  <c r="D15" i="90" s="1"/>
  <c r="H23" i="90"/>
  <c r="K23" i="90" s="1"/>
  <c r="H30" i="90"/>
  <c r="K30" i="90" s="1"/>
  <c r="D30" i="90" s="1"/>
  <c r="H31" i="90"/>
  <c r="K31" i="90" s="1"/>
  <c r="D31" i="90" s="1"/>
  <c r="H26" i="90"/>
  <c r="K26" i="90" s="1"/>
  <c r="D26" i="90" s="1"/>
  <c r="H16" i="90"/>
  <c r="K16" i="90" s="1"/>
  <c r="D16" i="90" s="1"/>
  <c r="F16" i="90" s="1"/>
  <c r="H29" i="90"/>
  <c r="K29" i="90" s="1"/>
  <c r="D29" i="90" s="1"/>
  <c r="H28" i="90"/>
  <c r="K28" i="90" s="1"/>
  <c r="D28" i="90" s="1"/>
  <c r="H30" i="82"/>
  <c r="K30" i="82" s="1"/>
  <c r="D30" i="82" s="1"/>
  <c r="H29" i="82"/>
  <c r="K29" i="82" s="1"/>
  <c r="D29" i="82" s="1"/>
  <c r="H32" i="82"/>
  <c r="K32" i="82" s="1"/>
  <c r="D32" i="82" s="1"/>
  <c r="H16" i="82"/>
  <c r="K16" i="82" s="1"/>
  <c r="D16" i="82" s="1"/>
  <c r="F16" i="82" s="1"/>
  <c r="H25" i="82"/>
  <c r="K25" i="82" s="1"/>
  <c r="D25" i="82" s="1"/>
  <c r="H27" i="82"/>
  <c r="K27" i="82" s="1"/>
  <c r="D27" i="82" s="1"/>
  <c r="H14" i="82"/>
  <c r="K14" i="82" s="1"/>
  <c r="D14" i="82" s="1"/>
  <c r="H23" i="82"/>
  <c r="K23" i="82" s="1"/>
  <c r="H28" i="82"/>
  <c r="K28" i="82" s="1"/>
  <c r="D28" i="82" s="1"/>
  <c r="H31" i="82"/>
  <c r="K31" i="82" s="1"/>
  <c r="D31" i="82" s="1"/>
  <c r="H21" i="82"/>
  <c r="K21" i="82" s="1"/>
  <c r="D21" i="82" s="1"/>
  <c r="O21" i="82" s="1"/>
  <c r="H15" i="82"/>
  <c r="K15" i="82" s="1"/>
  <c r="D15" i="82" s="1"/>
  <c r="H26" i="82"/>
  <c r="K26" i="82" s="1"/>
  <c r="D26" i="82" s="1"/>
  <c r="H24" i="82"/>
  <c r="K24" i="82" s="1"/>
  <c r="H32" i="59"/>
  <c r="K32" i="59" s="1"/>
  <c r="D32" i="59" s="1"/>
  <c r="H14" i="59"/>
  <c r="K14" i="59" s="1"/>
  <c r="D14" i="59" s="1"/>
  <c r="H29" i="59"/>
  <c r="K29" i="59" s="1"/>
  <c r="D29" i="59" s="1"/>
  <c r="H24" i="59"/>
  <c r="K24" i="59" s="1"/>
  <c r="H27" i="59"/>
  <c r="K27" i="59" s="1"/>
  <c r="D27" i="59" s="1"/>
  <c r="H23" i="59"/>
  <c r="K23" i="59" s="1"/>
  <c r="H31" i="59"/>
  <c r="K31" i="59" s="1"/>
  <c r="D31" i="59" s="1"/>
  <c r="H21" i="59"/>
  <c r="K21" i="59" s="1"/>
  <c r="D21" i="59" s="1"/>
  <c r="O21" i="59" s="1"/>
  <c r="P21" i="302" s="1"/>
  <c r="H26" i="59"/>
  <c r="K26" i="59" s="1"/>
  <c r="D26" i="59" s="1"/>
  <c r="H28" i="59"/>
  <c r="K28" i="59" s="1"/>
  <c r="D28" i="59" s="1"/>
  <c r="H30" i="59"/>
  <c r="K30" i="59" s="1"/>
  <c r="D30" i="59" s="1"/>
  <c r="H25" i="59"/>
  <c r="K25" i="59" s="1"/>
  <c r="D25" i="59" s="1"/>
  <c r="H16" i="59"/>
  <c r="K16" i="59" s="1"/>
  <c r="D16" i="59" s="1"/>
  <c r="F16" i="59" s="1"/>
  <c r="H15" i="59"/>
  <c r="K15" i="59" s="1"/>
  <c r="D15" i="59" s="1"/>
  <c r="H13" i="50"/>
  <c r="K13" i="50" s="1"/>
  <c r="D13" i="50" s="1"/>
  <c r="F13" i="50" s="1"/>
  <c r="H12" i="50"/>
  <c r="K12" i="50" s="1"/>
  <c r="D12" i="50" s="1"/>
  <c r="H17" i="50"/>
  <c r="K17" i="50" s="1"/>
  <c r="D17" i="50" s="1"/>
  <c r="H9" i="50"/>
  <c r="K9" i="50" s="1"/>
  <c r="D9" i="50" s="1"/>
  <c r="H19" i="50"/>
  <c r="K19" i="50" s="1"/>
  <c r="D19" i="50" s="1"/>
  <c r="H11" i="50"/>
  <c r="K11" i="50" s="1"/>
  <c r="D11" i="50" s="1"/>
  <c r="H22" i="50"/>
  <c r="K22" i="50" s="1"/>
  <c r="D22" i="50" s="1"/>
  <c r="O22" i="50" s="1"/>
  <c r="Q15" i="302" s="1"/>
  <c r="H14" i="50"/>
  <c r="K14" i="50" s="1"/>
  <c r="D14" i="50" s="1"/>
  <c r="O14" i="50" s="1"/>
  <c r="H31" i="50"/>
  <c r="K31" i="50" s="1"/>
  <c r="D31" i="50" s="1"/>
  <c r="O31" i="50" s="1"/>
  <c r="Z15" i="302" s="1"/>
  <c r="H29" i="50"/>
  <c r="K29" i="50" s="1"/>
  <c r="D29" i="50" s="1"/>
  <c r="O29" i="50" s="1"/>
  <c r="X15" i="302" s="1"/>
  <c r="H16" i="50"/>
  <c r="K16" i="50" s="1"/>
  <c r="D16" i="50" s="1"/>
  <c r="H21" i="50"/>
  <c r="K21" i="50" s="1"/>
  <c r="D21" i="50" s="1"/>
  <c r="H27" i="50"/>
  <c r="K27" i="50" s="1"/>
  <c r="D27" i="50" s="1"/>
  <c r="O27" i="50" s="1"/>
  <c r="V15" i="302" s="1"/>
  <c r="H26" i="50"/>
  <c r="K26" i="50" s="1"/>
  <c r="D26" i="50" s="1"/>
  <c r="O26" i="50" s="1"/>
  <c r="U15" i="302" s="1"/>
  <c r="H15" i="50"/>
  <c r="K15" i="50" s="1"/>
  <c r="D15" i="50" s="1"/>
  <c r="O15" i="50" s="1"/>
  <c r="J15" i="302" s="1"/>
  <c r="H28" i="50"/>
  <c r="K28" i="50" s="1"/>
  <c r="D28" i="50" s="1"/>
  <c r="O28" i="50" s="1"/>
  <c r="W15" i="302" s="1"/>
  <c r="H23" i="50"/>
  <c r="K23" i="50" s="1"/>
  <c r="D23" i="50" s="1"/>
  <c r="O23" i="50" s="1"/>
  <c r="R15" i="302" s="1"/>
  <c r="H30" i="50"/>
  <c r="K30" i="50" s="1"/>
  <c r="D30" i="50" s="1"/>
  <c r="O30" i="50" s="1"/>
  <c r="Y15" i="302" s="1"/>
  <c r="H32" i="50"/>
  <c r="K32" i="50" s="1"/>
  <c r="D32" i="50" s="1"/>
  <c r="O32" i="50" s="1"/>
  <c r="AA15" i="302" s="1"/>
  <c r="H24" i="50"/>
  <c r="K24" i="50" s="1"/>
  <c r="H25" i="50"/>
  <c r="K25" i="50" s="1"/>
  <c r="D25" i="50" s="1"/>
  <c r="O25" i="50" s="1"/>
  <c r="T15" i="302" s="1"/>
  <c r="H18" i="50"/>
  <c r="K18" i="50" s="1"/>
  <c r="D18" i="50" s="1"/>
  <c r="O18" i="50" s="1"/>
  <c r="H23" i="49"/>
  <c r="K23" i="49" s="1"/>
  <c r="D23" i="49" s="1"/>
  <c r="O23" i="49" s="1"/>
  <c r="R12" i="302" s="1"/>
  <c r="H24" i="49"/>
  <c r="K24" i="49" s="1"/>
  <c r="D24" i="49" s="1"/>
  <c r="O24" i="49" s="1"/>
  <c r="S12" i="302" s="1"/>
  <c r="H29" i="49"/>
  <c r="K29" i="49" s="1"/>
  <c r="D29" i="49" s="1"/>
  <c r="O29" i="49" s="1"/>
  <c r="X12" i="302" s="1"/>
  <c r="H30" i="49"/>
  <c r="K30" i="49" s="1"/>
  <c r="D30" i="49" s="1"/>
  <c r="O30" i="49" s="1"/>
  <c r="Y12" i="302" s="1"/>
  <c r="H16" i="49"/>
  <c r="K16" i="49" s="1"/>
  <c r="D16" i="49" s="1"/>
  <c r="H28" i="49"/>
  <c r="K28" i="49" s="1"/>
  <c r="D28" i="49" s="1"/>
  <c r="O28" i="49" s="1"/>
  <c r="W12" i="302" s="1"/>
  <c r="H14" i="49"/>
  <c r="K14" i="49" s="1"/>
  <c r="D14" i="49" s="1"/>
  <c r="H25" i="49"/>
  <c r="K25" i="49" s="1"/>
  <c r="D25" i="49" s="1"/>
  <c r="O25" i="49" s="1"/>
  <c r="T12" i="302" s="1"/>
  <c r="H31" i="49"/>
  <c r="K31" i="49" s="1"/>
  <c r="D31" i="49" s="1"/>
  <c r="O31" i="49" s="1"/>
  <c r="Z12" i="302" s="1"/>
  <c r="H32" i="49"/>
  <c r="K32" i="49" s="1"/>
  <c r="D32" i="49" s="1"/>
  <c r="O32" i="49" s="1"/>
  <c r="AA12" i="302" s="1"/>
  <c r="H26" i="49"/>
  <c r="K26" i="49" s="1"/>
  <c r="D26" i="49" s="1"/>
  <c r="O26" i="49" s="1"/>
  <c r="U12" i="302" s="1"/>
  <c r="H15" i="49"/>
  <c r="K15" i="49" s="1"/>
  <c r="D15" i="49" s="1"/>
  <c r="O15" i="49" s="1"/>
  <c r="J12" i="302" s="1"/>
  <c r="H27" i="49"/>
  <c r="K27" i="49" s="1"/>
  <c r="D27" i="49" s="1"/>
  <c r="O27" i="49" s="1"/>
  <c r="V12" i="302" s="1"/>
  <c r="H10" i="50"/>
  <c r="K10" i="50" s="1"/>
  <c r="D10" i="50" s="1"/>
  <c r="H16" i="35"/>
  <c r="K16" i="35" s="1"/>
  <c r="D16" i="35" s="1"/>
  <c r="H12" i="35"/>
  <c r="K12" i="35" s="1"/>
  <c r="D12" i="35" s="1"/>
  <c r="H25" i="35"/>
  <c r="K25" i="35" s="1"/>
  <c r="D25" i="35" s="1"/>
  <c r="H27" i="35"/>
  <c r="K27" i="35" s="1"/>
  <c r="D27" i="35" s="1"/>
  <c r="H13" i="35"/>
  <c r="K13" i="35" s="1"/>
  <c r="D13" i="35" s="1"/>
  <c r="H26" i="35"/>
  <c r="K26" i="35" s="1"/>
  <c r="D26" i="35" s="1"/>
  <c r="H23" i="35"/>
  <c r="K23" i="35" s="1"/>
  <c r="H15" i="35"/>
  <c r="K15" i="35" s="1"/>
  <c r="D15" i="35" s="1"/>
  <c r="O15" i="35" s="1"/>
  <c r="J9" i="302" s="1"/>
  <c r="H22" i="35"/>
  <c r="K22" i="35" s="1"/>
  <c r="D22" i="35" s="1"/>
  <c r="O22" i="35" s="1"/>
  <c r="H30" i="35"/>
  <c r="K30" i="35" s="1"/>
  <c r="D30" i="35" s="1"/>
  <c r="H17" i="35"/>
  <c r="K17" i="35" s="1"/>
  <c r="D17" i="35" s="1"/>
  <c r="O17" i="35" s="1"/>
  <c r="L9" i="302" s="1"/>
  <c r="H11" i="35"/>
  <c r="K11" i="35" s="1"/>
  <c r="D11" i="35" s="1"/>
  <c r="H31" i="35"/>
  <c r="K31" i="35" s="1"/>
  <c r="D31" i="35" s="1"/>
  <c r="H18" i="35"/>
  <c r="K18" i="35" s="1"/>
  <c r="D18" i="35" s="1"/>
  <c r="O18" i="35" s="1"/>
  <c r="M9" i="302" s="1"/>
  <c r="H32" i="35"/>
  <c r="K32" i="35" s="1"/>
  <c r="D32" i="35" s="1"/>
  <c r="Q37" i="281"/>
  <c r="Q55" i="281" s="1"/>
  <c r="O13" i="107"/>
  <c r="H42" i="302" s="1"/>
  <c r="O18" i="107"/>
  <c r="F13" i="281"/>
  <c r="H17" i="111"/>
  <c r="K17" i="111" s="1"/>
  <c r="D17" i="111" s="1"/>
  <c r="E6" i="111"/>
  <c r="G6" i="111" s="1"/>
  <c r="H11" i="111"/>
  <c r="K11" i="111" s="1"/>
  <c r="D11" i="111" s="1"/>
  <c r="H9" i="111"/>
  <c r="H10" i="111"/>
  <c r="K10" i="111" s="1"/>
  <c r="D10" i="111" s="1"/>
  <c r="H18" i="111"/>
  <c r="K18" i="111" s="1"/>
  <c r="D18" i="111" s="1"/>
  <c r="O18" i="111" s="1"/>
  <c r="O12" i="107"/>
  <c r="G42" i="302" s="1"/>
  <c r="F17" i="107"/>
  <c r="H23" i="95"/>
  <c r="K23" i="95" s="1"/>
  <c r="H20" i="95"/>
  <c r="K20" i="95" s="1"/>
  <c r="D20" i="95" s="1"/>
  <c r="O20" i="95" s="1"/>
  <c r="O33" i="302" s="1"/>
  <c r="H10" i="95"/>
  <c r="K10" i="95" s="1"/>
  <c r="D10" i="95" s="1"/>
  <c r="H22" i="95"/>
  <c r="H11" i="95"/>
  <c r="K11" i="95" s="1"/>
  <c r="D11" i="95" s="1"/>
  <c r="H17" i="95"/>
  <c r="K17" i="95" s="1"/>
  <c r="D17" i="95" s="1"/>
  <c r="H18" i="95"/>
  <c r="K18" i="95" s="1"/>
  <c r="D18" i="95" s="1"/>
  <c r="H12" i="95"/>
  <c r="K12" i="95" s="1"/>
  <c r="D12" i="95" s="1"/>
  <c r="F12" i="95" s="1"/>
  <c r="H19" i="95"/>
  <c r="K19" i="95" s="1"/>
  <c r="D19" i="95" s="1"/>
  <c r="O19" i="95" s="1"/>
  <c r="N33" i="302" s="1"/>
  <c r="H9" i="95"/>
  <c r="E6" i="95"/>
  <c r="G6" i="95" s="1"/>
  <c r="H13" i="95"/>
  <c r="K13" i="95" s="1"/>
  <c r="D13" i="95" s="1"/>
  <c r="F13" i="95" s="1"/>
  <c r="H22" i="82"/>
  <c r="K22" i="82" s="1"/>
  <c r="D22" i="82" s="1"/>
  <c r="H17" i="82"/>
  <c r="K17" i="82" s="1"/>
  <c r="D17" i="82" s="1"/>
  <c r="H19" i="82"/>
  <c r="K19" i="82" s="1"/>
  <c r="D19" i="82" s="1"/>
  <c r="O19" i="82" s="1"/>
  <c r="N24" i="302" s="1"/>
  <c r="H11" i="82"/>
  <c r="K11" i="82" s="1"/>
  <c r="D11" i="82" s="1"/>
  <c r="E6" i="82"/>
  <c r="G6" i="82" s="1"/>
  <c r="H20" i="82"/>
  <c r="K20" i="82" s="1"/>
  <c r="D20" i="82" s="1"/>
  <c r="O20" i="82" s="1"/>
  <c r="O24" i="302" s="1"/>
  <c r="H18" i="82"/>
  <c r="K18" i="82" s="1"/>
  <c r="D18" i="82" s="1"/>
  <c r="O18" i="82" s="1"/>
  <c r="H13" i="82"/>
  <c r="K13" i="82" s="1"/>
  <c r="D13" i="82" s="1"/>
  <c r="H9" i="82"/>
  <c r="H12" i="82"/>
  <c r="K12" i="82" s="1"/>
  <c r="D12" i="82" s="1"/>
  <c r="F12" i="82" s="1"/>
  <c r="H10" i="82"/>
  <c r="K10" i="82" s="1"/>
  <c r="D10" i="82" s="1"/>
  <c r="O10" i="82" s="1"/>
  <c r="O11" i="107"/>
  <c r="F42" i="302" s="1"/>
  <c r="F11" i="107"/>
  <c r="H11" i="49"/>
  <c r="K11" i="49" s="1"/>
  <c r="D11" i="49" s="1"/>
  <c r="O11" i="49" s="1"/>
  <c r="H13" i="49"/>
  <c r="K13" i="49" s="1"/>
  <c r="D13" i="49" s="1"/>
  <c r="F13" i="49" s="1"/>
  <c r="H10" i="49"/>
  <c r="K10" i="49" s="1"/>
  <c r="D10" i="49" s="1"/>
  <c r="H19" i="49"/>
  <c r="H12" i="49"/>
  <c r="K12" i="49" s="1"/>
  <c r="D12" i="49" s="1"/>
  <c r="O12" i="49" s="1"/>
  <c r="H22" i="49"/>
  <c r="K22" i="49" s="1"/>
  <c r="D22" i="49" s="1"/>
  <c r="O22" i="49" s="1"/>
  <c r="Q12" i="302" s="1"/>
  <c r="H20" i="49"/>
  <c r="K20" i="49" s="1"/>
  <c r="D20" i="49" s="1"/>
  <c r="O20" i="49" s="1"/>
  <c r="H18" i="49"/>
  <c r="K18" i="49" s="1"/>
  <c r="D18" i="49" s="1"/>
  <c r="O18" i="49" s="1"/>
  <c r="M12" i="302" s="1"/>
  <c r="H17" i="49"/>
  <c r="K17" i="49" s="1"/>
  <c r="D17" i="49" s="1"/>
  <c r="O17" i="49" s="1"/>
  <c r="L12" i="302" s="1"/>
  <c r="H9" i="49"/>
  <c r="H22" i="90"/>
  <c r="H19" i="90"/>
  <c r="K19" i="90" s="1"/>
  <c r="D19" i="90" s="1"/>
  <c r="O19" i="90" s="1"/>
  <c r="N27" i="302" s="1"/>
  <c r="H11" i="90"/>
  <c r="K11" i="90" s="1"/>
  <c r="D11" i="90" s="1"/>
  <c r="H10" i="90"/>
  <c r="K10" i="90" s="1"/>
  <c r="D10" i="90" s="1"/>
  <c r="O10" i="90" s="1"/>
  <c r="E27" i="302" s="1"/>
  <c r="H20" i="90"/>
  <c r="H18" i="90"/>
  <c r="K18" i="90" s="1"/>
  <c r="D18" i="90" s="1"/>
  <c r="O18" i="90" s="1"/>
  <c r="H17" i="90"/>
  <c r="K17" i="90" s="1"/>
  <c r="D17" i="90" s="1"/>
  <c r="H12" i="90"/>
  <c r="K12" i="90" s="1"/>
  <c r="D12" i="90" s="1"/>
  <c r="F12" i="90" s="1"/>
  <c r="H13" i="90"/>
  <c r="K13" i="90" s="1"/>
  <c r="D13" i="90" s="1"/>
  <c r="H22" i="94"/>
  <c r="H11" i="94"/>
  <c r="K11" i="94" s="1"/>
  <c r="D11" i="94" s="1"/>
  <c r="E6" i="94"/>
  <c r="G6" i="94" s="1"/>
  <c r="H19" i="94"/>
  <c r="K19" i="94" s="1"/>
  <c r="D19" i="94" s="1"/>
  <c r="O19" i="94" s="1"/>
  <c r="N30" i="302" s="1"/>
  <c r="H20" i="94"/>
  <c r="K20" i="94" s="1"/>
  <c r="D20" i="94" s="1"/>
  <c r="O20" i="94" s="1"/>
  <c r="O30" i="302" s="1"/>
  <c r="H17" i="94"/>
  <c r="K17" i="94" s="1"/>
  <c r="D17" i="94" s="1"/>
  <c r="H18" i="94"/>
  <c r="K18" i="94" s="1"/>
  <c r="D18" i="94" s="1"/>
  <c r="H9" i="94"/>
  <c r="H13" i="94"/>
  <c r="K13" i="94" s="1"/>
  <c r="D13" i="94" s="1"/>
  <c r="F13" i="94" s="1"/>
  <c r="H12" i="94"/>
  <c r="K12" i="94" s="1"/>
  <c r="D12" i="94" s="1"/>
  <c r="F12" i="94" s="1"/>
  <c r="H10" i="94"/>
  <c r="K10" i="94" s="1"/>
  <c r="D10" i="94" s="1"/>
  <c r="H12" i="59"/>
  <c r="K12" i="59" s="1"/>
  <c r="D12" i="59" s="1"/>
  <c r="F12" i="59" s="1"/>
  <c r="H9" i="59"/>
  <c r="H19" i="59"/>
  <c r="K19" i="59" s="1"/>
  <c r="D19" i="59" s="1"/>
  <c r="O19" i="59" s="1"/>
  <c r="N21" i="302" s="1"/>
  <c r="H18" i="59"/>
  <c r="K18" i="59" s="1"/>
  <c r="D18" i="59" s="1"/>
  <c r="O18" i="59" s="1"/>
  <c r="H11" i="59"/>
  <c r="K11" i="59" s="1"/>
  <c r="D11" i="59" s="1"/>
  <c r="E6" i="59"/>
  <c r="G6" i="59" s="1"/>
  <c r="H13" i="59"/>
  <c r="K13" i="59" s="1"/>
  <c r="D13" i="59" s="1"/>
  <c r="H20" i="59"/>
  <c r="H10" i="59"/>
  <c r="K10" i="59" s="1"/>
  <c r="D10" i="59" s="1"/>
  <c r="O10" i="59" s="1"/>
  <c r="E21" i="302" s="1"/>
  <c r="H22" i="59"/>
  <c r="H17" i="59"/>
  <c r="K17" i="59" s="1"/>
  <c r="D17" i="59" s="1"/>
  <c r="H18" i="106"/>
  <c r="K18" i="106" s="1"/>
  <c r="D18" i="106" s="1"/>
  <c r="H11" i="106"/>
  <c r="K11" i="106" s="1"/>
  <c r="D11" i="106" s="1"/>
  <c r="H10" i="106"/>
  <c r="K10" i="106" s="1"/>
  <c r="D10" i="106" s="1"/>
  <c r="H17" i="106"/>
  <c r="K17" i="106" s="1"/>
  <c r="D17" i="106" s="1"/>
  <c r="E6" i="102"/>
  <c r="G6" i="102" s="1"/>
  <c r="H11" i="102"/>
  <c r="K11" i="102" s="1"/>
  <c r="D11" i="102" s="1"/>
  <c r="H9" i="102"/>
  <c r="H10" i="102"/>
  <c r="K10" i="102" s="1"/>
  <c r="D10" i="102" s="1"/>
  <c r="H17" i="102"/>
  <c r="K17" i="102" s="1"/>
  <c r="D17" i="102" s="1"/>
  <c r="H18" i="102"/>
  <c r="K18" i="102" s="1"/>
  <c r="D18" i="102" s="1"/>
  <c r="O18" i="102" s="1"/>
  <c r="F17" i="281"/>
  <c r="O11" i="281"/>
  <c r="F18" i="302" s="1"/>
  <c r="F11" i="281"/>
  <c r="O37" i="107" l="1"/>
  <c r="O55" i="107" s="1"/>
  <c r="K37" i="281"/>
  <c r="K55" i="281" s="1"/>
  <c r="I37" i="281"/>
  <c r="I55" i="281" s="1"/>
  <c r="N37" i="281"/>
  <c r="N55" i="281" s="1"/>
  <c r="J37" i="281"/>
  <c r="J55" i="281" s="1"/>
  <c r="O37" i="281"/>
  <c r="O55" i="281" s="1"/>
  <c r="H37" i="281"/>
  <c r="H55" i="281" s="1"/>
  <c r="T37" i="281"/>
  <c r="T55" i="281" s="1"/>
  <c r="Y37" i="281"/>
  <c r="Y55" i="281" s="1"/>
  <c r="S37" i="281"/>
  <c r="S55" i="281" s="1"/>
  <c r="R37" i="281"/>
  <c r="R55" i="281" s="1"/>
  <c r="Z37" i="281"/>
  <c r="Z55" i="281" s="1"/>
  <c r="E37" i="281"/>
  <c r="E55" i="281" s="1"/>
  <c r="M37" i="281"/>
  <c r="M55" i="281" s="1"/>
  <c r="V37" i="281"/>
  <c r="V55" i="281" s="1"/>
  <c r="I20" i="108"/>
  <c r="K34" i="281"/>
  <c r="Q9" i="302"/>
  <c r="K14" i="44"/>
  <c r="V25" i="44" s="1"/>
  <c r="H33" i="281"/>
  <c r="K33" i="281" s="1"/>
  <c r="F37" i="281"/>
  <c r="F55" i="281" s="1"/>
  <c r="U37" i="281"/>
  <c r="U55" i="281" s="1"/>
  <c r="W37" i="281"/>
  <c r="W55" i="281" s="1"/>
  <c r="X37" i="281"/>
  <c r="X55" i="281" s="1"/>
  <c r="P37" i="281"/>
  <c r="P55" i="281" s="1"/>
  <c r="G37" i="281"/>
  <c r="G55" i="281" s="1"/>
  <c r="D37" i="281"/>
  <c r="D55" i="281" s="1"/>
  <c r="L37" i="281"/>
  <c r="L55" i="281" s="1"/>
  <c r="R20" i="108"/>
  <c r="I37" i="107"/>
  <c r="I55" i="107" s="1"/>
  <c r="N37" i="107"/>
  <c r="N55" i="107" s="1"/>
  <c r="W37" i="107"/>
  <c r="W55" i="107" s="1"/>
  <c r="G37" i="107"/>
  <c r="G55" i="107" s="1"/>
  <c r="Q37" i="107"/>
  <c r="Q55" i="107" s="1"/>
  <c r="W20" i="108"/>
  <c r="V20" i="108"/>
  <c r="O20" i="108"/>
  <c r="E6" i="106"/>
  <c r="G6" i="106" s="1"/>
  <c r="U37" i="106" s="1"/>
  <c r="H9" i="106"/>
  <c r="K9" i="106" s="1"/>
  <c r="H21" i="90"/>
  <c r="K21" i="90" s="1"/>
  <c r="D21" i="90" s="1"/>
  <c r="O21" i="90" s="1"/>
  <c r="P27" i="302" s="1"/>
  <c r="E6" i="90"/>
  <c r="G6" i="90" s="1"/>
  <c r="F20" i="89" s="1"/>
  <c r="P24" i="302"/>
  <c r="G12" i="302"/>
  <c r="H19" i="106"/>
  <c r="K19" i="106" s="1"/>
  <c r="D19" i="106" s="1"/>
  <c r="O19" i="106" s="1"/>
  <c r="N39" i="302" s="1"/>
  <c r="H20" i="106"/>
  <c r="K20" i="106" s="1"/>
  <c r="D20" i="106" s="1"/>
  <c r="O20" i="106" s="1"/>
  <c r="O39" i="302" s="1"/>
  <c r="O15" i="302"/>
  <c r="O12" i="302"/>
  <c r="F12" i="302"/>
  <c r="P12" i="302"/>
  <c r="O10" i="107"/>
  <c r="F33" i="281"/>
  <c r="E33" i="281" s="1"/>
  <c r="H21" i="106"/>
  <c r="K21" i="106" s="1"/>
  <c r="D21" i="106" s="1"/>
  <c r="O21" i="106" s="1"/>
  <c r="P39" i="302" s="1"/>
  <c r="H33" i="107"/>
  <c r="K33" i="107" s="1"/>
  <c r="O10" i="50"/>
  <c r="E15" i="302" s="1"/>
  <c r="F16" i="50"/>
  <c r="O16" i="50"/>
  <c r="K15" i="302" s="1"/>
  <c r="O17" i="50"/>
  <c r="M27" i="302"/>
  <c r="M45" i="302"/>
  <c r="Y37" i="107"/>
  <c r="Y55" i="107" s="1"/>
  <c r="S37" i="107"/>
  <c r="S55" i="107" s="1"/>
  <c r="H37" i="107"/>
  <c r="H55" i="107" s="1"/>
  <c r="U37" i="107"/>
  <c r="U55" i="107" s="1"/>
  <c r="C37" i="107"/>
  <c r="C55" i="107" s="1"/>
  <c r="P20" i="108"/>
  <c r="Y20" i="108"/>
  <c r="M20" i="108"/>
  <c r="Z20" i="108"/>
  <c r="M37" i="107"/>
  <c r="M55" i="107" s="1"/>
  <c r="G20" i="108"/>
  <c r="F11" i="50"/>
  <c r="O11" i="50"/>
  <c r="F12" i="50"/>
  <c r="O12" i="50"/>
  <c r="G15" i="302" s="1"/>
  <c r="M42" i="302"/>
  <c r="M36" i="302"/>
  <c r="O10" i="49"/>
  <c r="E12" i="302" s="1"/>
  <c r="E37" i="107"/>
  <c r="E55" i="107" s="1"/>
  <c r="H20" i="108"/>
  <c r="T37" i="107"/>
  <c r="T55" i="107" s="1"/>
  <c r="J37" i="107"/>
  <c r="J55" i="107" s="1"/>
  <c r="U20" i="108"/>
  <c r="S20" i="108"/>
  <c r="K37" i="107"/>
  <c r="K55" i="107" s="1"/>
  <c r="L37" i="107"/>
  <c r="L55" i="107" s="1"/>
  <c r="D37" i="107"/>
  <c r="D55" i="107" s="1"/>
  <c r="T20" i="108"/>
  <c r="P37" i="107"/>
  <c r="P55" i="107" s="1"/>
  <c r="O19" i="50"/>
  <c r="O13" i="50"/>
  <c r="M24" i="302"/>
  <c r="Z37" i="107"/>
  <c r="Z55" i="107" s="1"/>
  <c r="L20" i="108"/>
  <c r="X37" i="107"/>
  <c r="X55" i="107" s="1"/>
  <c r="F20" i="108"/>
  <c r="E20" i="108"/>
  <c r="V37" i="107"/>
  <c r="V55" i="107" s="1"/>
  <c r="F37" i="107"/>
  <c r="F55" i="107" s="1"/>
  <c r="N20" i="108"/>
  <c r="R37" i="107"/>
  <c r="R55" i="107" s="1"/>
  <c r="X20" i="108"/>
  <c r="O21" i="50"/>
  <c r="O11" i="35"/>
  <c r="M21" i="302"/>
  <c r="O13" i="35"/>
  <c r="H9" i="302" s="1"/>
  <c r="F16" i="49"/>
  <c r="O16" i="49"/>
  <c r="K12" i="302" s="1"/>
  <c r="F12" i="35"/>
  <c r="O12" i="35"/>
  <c r="F16" i="35"/>
  <c r="O16" i="35"/>
  <c r="K9" i="302" s="1"/>
  <c r="M15" i="302"/>
  <c r="F17" i="50"/>
  <c r="F14" i="50"/>
  <c r="I15" i="302"/>
  <c r="F14" i="111"/>
  <c r="F33" i="111" s="1"/>
  <c r="E33" i="111" s="1"/>
  <c r="O14" i="111"/>
  <c r="I45" i="302" s="1"/>
  <c r="F14" i="90"/>
  <c r="O14" i="90"/>
  <c r="I27" i="302" s="1"/>
  <c r="F14" i="102"/>
  <c r="F33" i="102" s="1"/>
  <c r="E33" i="102" s="1"/>
  <c r="O14" i="102"/>
  <c r="I36" i="302" s="1"/>
  <c r="F14" i="59"/>
  <c r="F33" i="59" s="1"/>
  <c r="E33" i="59" s="1"/>
  <c r="O14" i="59"/>
  <c r="I21" i="302" s="1"/>
  <c r="F14" i="49"/>
  <c r="F33" i="49" s="1"/>
  <c r="E33" i="49" s="1"/>
  <c r="O14" i="49"/>
  <c r="F14" i="94"/>
  <c r="F33" i="94" s="1"/>
  <c r="E33" i="94" s="1"/>
  <c r="O14" i="94"/>
  <c r="I30" i="302" s="1"/>
  <c r="F14" i="95"/>
  <c r="F33" i="95" s="1"/>
  <c r="E33" i="95" s="1"/>
  <c r="O14" i="95"/>
  <c r="I33" i="302" s="1"/>
  <c r="F14" i="107"/>
  <c r="F33" i="107" s="1"/>
  <c r="E33" i="107" s="1"/>
  <c r="O14" i="107"/>
  <c r="I42" i="302" s="1"/>
  <c r="F14" i="82"/>
  <c r="O14" i="82"/>
  <c r="I24" i="302" s="1"/>
  <c r="F14" i="106"/>
  <c r="F33" i="106" s="1"/>
  <c r="E33" i="106" s="1"/>
  <c r="O14" i="106"/>
  <c r="I39" i="302" s="1"/>
  <c r="K19" i="49"/>
  <c r="D19" i="49" s="1"/>
  <c r="O19" i="49" s="1"/>
  <c r="H20" i="35"/>
  <c r="K20" i="35" s="1"/>
  <c r="D20" i="35" s="1"/>
  <c r="O20" i="35" s="1"/>
  <c r="K21" i="35"/>
  <c r="D21" i="35" s="1"/>
  <c r="H19" i="35"/>
  <c r="K19" i="35" s="1"/>
  <c r="D19" i="35" s="1"/>
  <c r="O19" i="35" s="1"/>
  <c r="H10" i="35"/>
  <c r="K10" i="35" s="1"/>
  <c r="D10" i="35" s="1"/>
  <c r="O10" i="35" s="1"/>
  <c r="F17" i="35"/>
  <c r="H9" i="35"/>
  <c r="K9" i="35" s="1"/>
  <c r="D9" i="35" s="1"/>
  <c r="F9" i="35" s="1"/>
  <c r="O9" i="35" s="1"/>
  <c r="H24" i="35"/>
  <c r="K24" i="35" s="1"/>
  <c r="H14" i="35"/>
  <c r="K14" i="35" s="1"/>
  <c r="D14" i="35" s="1"/>
  <c r="O14" i="35" s="1"/>
  <c r="H28" i="35"/>
  <c r="K28" i="35" s="1"/>
  <c r="D28" i="35" s="1"/>
  <c r="H29" i="35"/>
  <c r="K29" i="35" s="1"/>
  <c r="D29" i="35" s="1"/>
  <c r="H33" i="50"/>
  <c r="K33" i="50" s="1"/>
  <c r="F13" i="35"/>
  <c r="F11" i="35"/>
  <c r="F9" i="50"/>
  <c r="O9" i="50"/>
  <c r="O13" i="106"/>
  <c r="H39" i="302" s="1"/>
  <c r="O18" i="106"/>
  <c r="O13" i="94"/>
  <c r="H30" i="302" s="1"/>
  <c r="O18" i="94"/>
  <c r="O13" i="95"/>
  <c r="H33" i="302" s="1"/>
  <c r="O18" i="95"/>
  <c r="K22" i="95"/>
  <c r="D22" i="95" s="1"/>
  <c r="K22" i="94"/>
  <c r="D22" i="94" s="1"/>
  <c r="K22" i="90"/>
  <c r="D22" i="90" s="1"/>
  <c r="K20" i="90"/>
  <c r="D20" i="90" s="1"/>
  <c r="O20" i="90" s="1"/>
  <c r="O27" i="302" s="1"/>
  <c r="K22" i="59"/>
  <c r="D22" i="59" s="1"/>
  <c r="K20" i="59"/>
  <c r="D20" i="59" s="1"/>
  <c r="O20" i="59" s="1"/>
  <c r="O21" i="302" s="1"/>
  <c r="F15" i="281"/>
  <c r="F11" i="90"/>
  <c r="O11" i="90"/>
  <c r="F10" i="82"/>
  <c r="H33" i="111"/>
  <c r="K33" i="111" s="1"/>
  <c r="K9" i="111"/>
  <c r="U37" i="111"/>
  <c r="U55" i="111" s="1"/>
  <c r="H37" i="111"/>
  <c r="H55" i="111" s="1"/>
  <c r="W20" i="112"/>
  <c r="U20" i="112"/>
  <c r="L20" i="112"/>
  <c r="T37" i="111"/>
  <c r="T55" i="111" s="1"/>
  <c r="X37" i="111"/>
  <c r="X55" i="111" s="1"/>
  <c r="X20" i="112"/>
  <c r="F20" i="112"/>
  <c r="F37" i="111"/>
  <c r="F55" i="111" s="1"/>
  <c r="N37" i="111"/>
  <c r="N55" i="111" s="1"/>
  <c r="I37" i="111"/>
  <c r="I55" i="111" s="1"/>
  <c r="Y20" i="112"/>
  <c r="M37" i="111"/>
  <c r="M55" i="111" s="1"/>
  <c r="Y37" i="111"/>
  <c r="Y55" i="111" s="1"/>
  <c r="I20" i="112"/>
  <c r="Z20" i="112"/>
  <c r="S37" i="111"/>
  <c r="S55" i="111" s="1"/>
  <c r="J37" i="111"/>
  <c r="J55" i="111" s="1"/>
  <c r="G20" i="112"/>
  <c r="R37" i="111"/>
  <c r="R55" i="111" s="1"/>
  <c r="Z37" i="111"/>
  <c r="Z55" i="111" s="1"/>
  <c r="V20" i="112"/>
  <c r="O20" i="112"/>
  <c r="Q37" i="111"/>
  <c r="Q55" i="111" s="1"/>
  <c r="K37" i="111"/>
  <c r="K55" i="111" s="1"/>
  <c r="R20" i="112"/>
  <c r="S20" i="112"/>
  <c r="P37" i="111"/>
  <c r="P55" i="111" s="1"/>
  <c r="L37" i="111"/>
  <c r="L55" i="111" s="1"/>
  <c r="M20" i="112"/>
  <c r="W37" i="111"/>
  <c r="W55" i="111" s="1"/>
  <c r="E37" i="111"/>
  <c r="E55" i="111" s="1"/>
  <c r="H20" i="112"/>
  <c r="D37" i="111"/>
  <c r="D55" i="111" s="1"/>
  <c r="P20" i="112"/>
  <c r="C37" i="111"/>
  <c r="O37" i="111"/>
  <c r="O55" i="111" s="1"/>
  <c r="Q20" i="112"/>
  <c r="T20" i="112"/>
  <c r="V37" i="111"/>
  <c r="V55" i="111" s="1"/>
  <c r="G37" i="111"/>
  <c r="G55" i="111" s="1"/>
  <c r="E20" i="112"/>
  <c r="N20" i="112"/>
  <c r="F17" i="95"/>
  <c r="O12" i="95"/>
  <c r="G33" i="302" s="1"/>
  <c r="O12" i="111"/>
  <c r="G45" i="302" s="1"/>
  <c r="F17" i="111"/>
  <c r="F11" i="95"/>
  <c r="O11" i="95"/>
  <c r="F33" i="302" s="1"/>
  <c r="F11" i="111"/>
  <c r="O11" i="111"/>
  <c r="F45" i="302" s="1"/>
  <c r="F17" i="49"/>
  <c r="O13" i="59"/>
  <c r="F11" i="94"/>
  <c r="O11" i="94"/>
  <c r="Q37" i="82"/>
  <c r="Q55" i="82" s="1"/>
  <c r="G37" i="82"/>
  <c r="G55" i="82" s="1"/>
  <c r="L20" i="83"/>
  <c r="S20" i="83"/>
  <c r="E37" i="82"/>
  <c r="E55" i="82" s="1"/>
  <c r="I20" i="83"/>
  <c r="P37" i="82"/>
  <c r="P55" i="82" s="1"/>
  <c r="K37" i="82"/>
  <c r="K55" i="82" s="1"/>
  <c r="P20" i="83"/>
  <c r="W20" i="83"/>
  <c r="O37" i="82"/>
  <c r="O55" i="82" s="1"/>
  <c r="H37" i="82"/>
  <c r="H55" i="82" s="1"/>
  <c r="T20" i="83"/>
  <c r="V20" i="83"/>
  <c r="R37" i="82"/>
  <c r="R55" i="82" s="1"/>
  <c r="N37" i="82"/>
  <c r="N55" i="82" s="1"/>
  <c r="H20" i="83"/>
  <c r="Z37" i="82"/>
  <c r="Z55" i="82" s="1"/>
  <c r="M37" i="82"/>
  <c r="M55" i="82" s="1"/>
  <c r="U20" i="83"/>
  <c r="S37" i="82"/>
  <c r="S55" i="82" s="1"/>
  <c r="D37" i="82"/>
  <c r="D55" i="82" s="1"/>
  <c r="Z20" i="83"/>
  <c r="L37" i="82"/>
  <c r="L55" i="82" s="1"/>
  <c r="M20" i="83"/>
  <c r="G20" i="83"/>
  <c r="C37" i="82"/>
  <c r="F37" i="82"/>
  <c r="F55" i="82" s="1"/>
  <c r="V37" i="82"/>
  <c r="V55" i="82" s="1"/>
  <c r="I37" i="82"/>
  <c r="I55" i="82" s="1"/>
  <c r="R20" i="83"/>
  <c r="N20" i="83"/>
  <c r="T37" i="82"/>
  <c r="T55" i="82" s="1"/>
  <c r="Y37" i="82"/>
  <c r="Y55" i="82" s="1"/>
  <c r="F20" i="83"/>
  <c r="J37" i="82"/>
  <c r="J55" i="82" s="1"/>
  <c r="U37" i="82"/>
  <c r="U55" i="82" s="1"/>
  <c r="O20" i="83"/>
  <c r="E20" i="83"/>
  <c r="W37" i="82"/>
  <c r="W55" i="82" s="1"/>
  <c r="Q20" i="83"/>
  <c r="X37" i="82"/>
  <c r="X55" i="82" s="1"/>
  <c r="X20" i="83"/>
  <c r="Y20" i="83"/>
  <c r="O10" i="95"/>
  <c r="E33" i="302" s="1"/>
  <c r="F10" i="95"/>
  <c r="O11" i="82"/>
  <c r="F11" i="82"/>
  <c r="K9" i="49"/>
  <c r="H33" i="49"/>
  <c r="K33" i="49" s="1"/>
  <c r="C37" i="94"/>
  <c r="V20" i="93"/>
  <c r="X37" i="94"/>
  <c r="X55" i="94" s="1"/>
  <c r="P20" i="93"/>
  <c r="Z37" i="94"/>
  <c r="Z55" i="94" s="1"/>
  <c r="Z20" i="93"/>
  <c r="P37" i="94"/>
  <c r="P55" i="94" s="1"/>
  <c r="M20" i="93"/>
  <c r="O37" i="94"/>
  <c r="O55" i="94" s="1"/>
  <c r="O20" i="93"/>
  <c r="G37" i="94"/>
  <c r="G55" i="94" s="1"/>
  <c r="I37" i="94"/>
  <c r="I55" i="94" s="1"/>
  <c r="N20" i="93"/>
  <c r="I20" i="93"/>
  <c r="T37" i="94"/>
  <c r="T55" i="94" s="1"/>
  <c r="E37" i="94"/>
  <c r="E55" i="94" s="1"/>
  <c r="M37" i="94"/>
  <c r="M55" i="94" s="1"/>
  <c r="Y20" i="93"/>
  <c r="T20" i="93"/>
  <c r="G20" i="93"/>
  <c r="D37" i="94"/>
  <c r="D55" i="94" s="1"/>
  <c r="Y37" i="94"/>
  <c r="Y55" i="94" s="1"/>
  <c r="U20" i="93"/>
  <c r="L20" i="93"/>
  <c r="W37" i="94"/>
  <c r="W55" i="94" s="1"/>
  <c r="N37" i="94"/>
  <c r="N55" i="94" s="1"/>
  <c r="W20" i="93"/>
  <c r="S37" i="94"/>
  <c r="S55" i="94" s="1"/>
  <c r="R37" i="94"/>
  <c r="R55" i="94" s="1"/>
  <c r="J37" i="94"/>
  <c r="J55" i="94" s="1"/>
  <c r="F20" i="93"/>
  <c r="X20" i="93"/>
  <c r="L37" i="94"/>
  <c r="L55" i="94" s="1"/>
  <c r="V37" i="94"/>
  <c r="V55" i="94" s="1"/>
  <c r="F37" i="94"/>
  <c r="F55" i="94" s="1"/>
  <c r="S20" i="93"/>
  <c r="Q20" i="93"/>
  <c r="U37" i="94"/>
  <c r="U55" i="94" s="1"/>
  <c r="H20" i="93"/>
  <c r="Q37" i="94"/>
  <c r="Q55" i="94" s="1"/>
  <c r="K37" i="94"/>
  <c r="K55" i="94" s="1"/>
  <c r="E20" i="93"/>
  <c r="R20" i="93"/>
  <c r="H37" i="94"/>
  <c r="H55" i="94" s="1"/>
  <c r="O10" i="102"/>
  <c r="F10" i="102"/>
  <c r="O11" i="59"/>
  <c r="F11" i="59"/>
  <c r="F12" i="49"/>
  <c r="O17" i="59"/>
  <c r="F17" i="59"/>
  <c r="H33" i="102"/>
  <c r="K33" i="102" s="1"/>
  <c r="K9" i="102"/>
  <c r="F13" i="90"/>
  <c r="O13" i="90"/>
  <c r="H27" i="302" s="1"/>
  <c r="F17" i="82"/>
  <c r="O17" i="82"/>
  <c r="U37" i="59"/>
  <c r="U55" i="59" s="1"/>
  <c r="Q20" i="61"/>
  <c r="K37" i="59"/>
  <c r="K55" i="59" s="1"/>
  <c r="Y20" i="61"/>
  <c r="E37" i="59"/>
  <c r="E55" i="59" s="1"/>
  <c r="R20" i="61"/>
  <c r="P37" i="59"/>
  <c r="P55" i="59" s="1"/>
  <c r="W20" i="61"/>
  <c r="Q37" i="59"/>
  <c r="Q55" i="59" s="1"/>
  <c r="J37" i="59"/>
  <c r="J55" i="59" s="1"/>
  <c r="D37" i="59"/>
  <c r="D55" i="59" s="1"/>
  <c r="F20" i="61"/>
  <c r="L20" i="61"/>
  <c r="W37" i="59"/>
  <c r="W55" i="59" s="1"/>
  <c r="O20" i="61"/>
  <c r="I20" i="61"/>
  <c r="N20" i="61"/>
  <c r="U20" i="61"/>
  <c r="T20" i="61"/>
  <c r="S37" i="59"/>
  <c r="S55" i="59" s="1"/>
  <c r="E20" i="61"/>
  <c r="C37" i="59"/>
  <c r="V37" i="59"/>
  <c r="V55" i="59" s="1"/>
  <c r="T37" i="59"/>
  <c r="T55" i="59" s="1"/>
  <c r="I37" i="59"/>
  <c r="I55" i="59" s="1"/>
  <c r="G20" i="61"/>
  <c r="Y37" i="59"/>
  <c r="Y55" i="59" s="1"/>
  <c r="M20" i="61"/>
  <c r="R37" i="59"/>
  <c r="R55" i="59" s="1"/>
  <c r="X20" i="61"/>
  <c r="H37" i="59"/>
  <c r="H55" i="59" s="1"/>
  <c r="Z37" i="59"/>
  <c r="Z55" i="59" s="1"/>
  <c r="V20" i="61"/>
  <c r="O37" i="59"/>
  <c r="O55" i="59" s="1"/>
  <c r="M37" i="59"/>
  <c r="M55" i="59" s="1"/>
  <c r="P20" i="61"/>
  <c r="X37" i="59"/>
  <c r="X55" i="59" s="1"/>
  <c r="S20" i="61"/>
  <c r="Z20" i="61"/>
  <c r="F37" i="59"/>
  <c r="F55" i="59" s="1"/>
  <c r="L37" i="59"/>
  <c r="L55" i="59" s="1"/>
  <c r="G37" i="59"/>
  <c r="G55" i="59" s="1"/>
  <c r="H20" i="61"/>
  <c r="N37" i="59"/>
  <c r="N55" i="59" s="1"/>
  <c r="O11" i="102"/>
  <c r="F36" i="302" s="1"/>
  <c r="F11" i="102"/>
  <c r="H33" i="90"/>
  <c r="K33" i="90" s="1"/>
  <c r="K9" i="90"/>
  <c r="F13" i="82"/>
  <c r="O13" i="82"/>
  <c r="S37" i="102"/>
  <c r="S55" i="102" s="1"/>
  <c r="Y20" i="101"/>
  <c r="H20" i="101"/>
  <c r="N20" i="101"/>
  <c r="E37" i="102"/>
  <c r="E55" i="102" s="1"/>
  <c r="Y37" i="102"/>
  <c r="Y55" i="102" s="1"/>
  <c r="G20" i="101"/>
  <c r="R37" i="102"/>
  <c r="R55" i="102" s="1"/>
  <c r="Q20" i="101"/>
  <c r="T20" i="101"/>
  <c r="T37" i="102"/>
  <c r="T55" i="102" s="1"/>
  <c r="J37" i="102"/>
  <c r="J55" i="102" s="1"/>
  <c r="O20" i="101"/>
  <c r="I20" i="101"/>
  <c r="R20" i="101"/>
  <c r="F37" i="102"/>
  <c r="F55" i="102" s="1"/>
  <c r="C37" i="102"/>
  <c r="Z20" i="101"/>
  <c r="L20" i="101"/>
  <c r="S20" i="101"/>
  <c r="U20" i="101"/>
  <c r="K37" i="102"/>
  <c r="K55" i="102" s="1"/>
  <c r="E20" i="101"/>
  <c r="F20" i="101"/>
  <c r="P37" i="102"/>
  <c r="P55" i="102" s="1"/>
  <c r="M20" i="101"/>
  <c r="V20" i="101"/>
  <c r="U37" i="102"/>
  <c r="U55" i="102" s="1"/>
  <c r="G37" i="102"/>
  <c r="G55" i="102" s="1"/>
  <c r="H37" i="102"/>
  <c r="H55" i="102" s="1"/>
  <c r="Q37" i="102"/>
  <c r="Q55" i="102" s="1"/>
  <c r="D37" i="102"/>
  <c r="D55" i="102" s="1"/>
  <c r="N37" i="102"/>
  <c r="N55" i="102" s="1"/>
  <c r="P20" i="101"/>
  <c r="Z37" i="102"/>
  <c r="Z55" i="102" s="1"/>
  <c r="O37" i="102"/>
  <c r="O55" i="102" s="1"/>
  <c r="W20" i="101"/>
  <c r="X37" i="102"/>
  <c r="X55" i="102" s="1"/>
  <c r="L37" i="102"/>
  <c r="L55" i="102" s="1"/>
  <c r="W37" i="102"/>
  <c r="W55" i="102" s="1"/>
  <c r="V37" i="102"/>
  <c r="V55" i="102" s="1"/>
  <c r="X20" i="101"/>
  <c r="M37" i="102"/>
  <c r="M55" i="102" s="1"/>
  <c r="I37" i="102"/>
  <c r="I55" i="102" s="1"/>
  <c r="K9" i="59"/>
  <c r="H33" i="59"/>
  <c r="K33" i="59" s="1"/>
  <c r="D9" i="107"/>
  <c r="O9" i="107" s="1"/>
  <c r="D42" i="302" s="1"/>
  <c r="H33" i="94"/>
  <c r="K33" i="94" s="1"/>
  <c r="K9" i="94"/>
  <c r="O12" i="94"/>
  <c r="F17" i="94"/>
  <c r="F17" i="102"/>
  <c r="O12" i="102"/>
  <c r="G36" i="302" s="1"/>
  <c r="O17" i="90"/>
  <c r="F17" i="90"/>
  <c r="F11" i="49"/>
  <c r="O12" i="106"/>
  <c r="G39" i="302" s="1"/>
  <c r="F17" i="106"/>
  <c r="F10" i="94"/>
  <c r="O10" i="94"/>
  <c r="O11" i="106"/>
  <c r="F39" i="302" s="1"/>
  <c r="F11" i="106"/>
  <c r="K9" i="82"/>
  <c r="H33" i="82"/>
  <c r="K33" i="82" s="1"/>
  <c r="F10" i="59"/>
  <c r="T37" i="95"/>
  <c r="T55" i="95" s="1"/>
  <c r="F20" i="96"/>
  <c r="U20" i="96"/>
  <c r="M20" i="96"/>
  <c r="Q20" i="96"/>
  <c r="X37" i="95"/>
  <c r="X55" i="95" s="1"/>
  <c r="O37" i="95"/>
  <c r="O55" i="95" s="1"/>
  <c r="T20" i="96"/>
  <c r="U37" i="95"/>
  <c r="U55" i="95" s="1"/>
  <c r="E20" i="96"/>
  <c r="O20" i="96"/>
  <c r="F37" i="95"/>
  <c r="F55" i="95" s="1"/>
  <c r="H37" i="95"/>
  <c r="H55" i="95" s="1"/>
  <c r="D23" i="95" s="1"/>
  <c r="G37" i="95"/>
  <c r="G55" i="95" s="1"/>
  <c r="H20" i="96"/>
  <c r="W20" i="96"/>
  <c r="J37" i="95"/>
  <c r="J55" i="95" s="1"/>
  <c r="D37" i="95"/>
  <c r="D55" i="95" s="1"/>
  <c r="L20" i="96"/>
  <c r="S37" i="95"/>
  <c r="S55" i="95" s="1"/>
  <c r="N37" i="95"/>
  <c r="N55" i="95" s="1"/>
  <c r="V20" i="96"/>
  <c r="I37" i="95"/>
  <c r="I55" i="95" s="1"/>
  <c r="V37" i="95"/>
  <c r="V55" i="95" s="1"/>
  <c r="E37" i="95"/>
  <c r="E55" i="95" s="1"/>
  <c r="G20" i="96"/>
  <c r="Z20" i="96"/>
  <c r="P37" i="95"/>
  <c r="P55" i="95" s="1"/>
  <c r="Y20" i="96"/>
  <c r="N20" i="96"/>
  <c r="R37" i="95"/>
  <c r="R55" i="95" s="1"/>
  <c r="W37" i="95"/>
  <c r="W55" i="95" s="1"/>
  <c r="P20" i="96"/>
  <c r="C37" i="95"/>
  <c r="Q37" i="95"/>
  <c r="Q55" i="95" s="1"/>
  <c r="I20" i="96"/>
  <c r="Z37" i="95"/>
  <c r="Z55" i="95" s="1"/>
  <c r="Y37" i="95"/>
  <c r="Y55" i="95" s="1"/>
  <c r="R20" i="96"/>
  <c r="K37" i="95"/>
  <c r="K55" i="95" s="1"/>
  <c r="S20" i="96"/>
  <c r="X20" i="96"/>
  <c r="L37" i="95"/>
  <c r="L55" i="95" s="1"/>
  <c r="M37" i="95"/>
  <c r="M55" i="95" s="1"/>
  <c r="D23" i="107"/>
  <c r="O10" i="106"/>
  <c r="F10" i="106"/>
  <c r="F10" i="90"/>
  <c r="K9" i="95"/>
  <c r="H33" i="95"/>
  <c r="K33" i="95" s="1"/>
  <c r="F10" i="111"/>
  <c r="O10" i="111"/>
  <c r="C55" i="281"/>
  <c r="D9" i="281"/>
  <c r="F9" i="281" s="1"/>
  <c r="D23" i="281"/>
  <c r="K34" i="50"/>
  <c r="D23" i="35"/>
  <c r="F9" i="302" l="1"/>
  <c r="M14" i="44"/>
  <c r="M16" i="44" s="1"/>
  <c r="G14" i="44"/>
  <c r="W37" i="106"/>
  <c r="W20" i="105"/>
  <c r="C37" i="106"/>
  <c r="Y37" i="106"/>
  <c r="Y55" i="106" s="1"/>
  <c r="H20" i="89"/>
  <c r="I14" i="44"/>
  <c r="H14" i="44"/>
  <c r="H25" i="44" s="1"/>
  <c r="AK25" i="44"/>
  <c r="AK26" i="44" s="1"/>
  <c r="AJ25" i="44" s="1"/>
  <c r="Y20" i="89"/>
  <c r="O21" i="35"/>
  <c r="D37" i="106"/>
  <c r="D55" i="106" s="1"/>
  <c r="U20" i="105"/>
  <c r="Z20" i="105"/>
  <c r="R20" i="105"/>
  <c r="X37" i="106"/>
  <c r="X4" i="293" s="1"/>
  <c r="X18" i="293" s="1"/>
  <c r="R37" i="106"/>
  <c r="R4" i="293" s="1"/>
  <c r="R18" i="293" s="1"/>
  <c r="B37" i="281"/>
  <c r="L20" i="105"/>
  <c r="S37" i="106"/>
  <c r="S55" i="106" s="1"/>
  <c r="X20" i="89"/>
  <c r="Q20" i="89"/>
  <c r="X37" i="90"/>
  <c r="X55" i="90" s="1"/>
  <c r="T20" i="89"/>
  <c r="M20" i="105"/>
  <c r="M20" i="89"/>
  <c r="G20" i="105"/>
  <c r="O20" i="105"/>
  <c r="H37" i="106"/>
  <c r="H4" i="293" s="1"/>
  <c r="W20" i="89"/>
  <c r="F20" i="105"/>
  <c r="Q37" i="106"/>
  <c r="Q55" i="106" s="1"/>
  <c r="U20" i="89"/>
  <c r="L37" i="90"/>
  <c r="L55" i="90" s="1"/>
  <c r="G20" i="89"/>
  <c r="Y20" i="105"/>
  <c r="O20" i="89"/>
  <c r="R20" i="89"/>
  <c r="E20" i="105"/>
  <c r="J37" i="106"/>
  <c r="J55" i="106" s="1"/>
  <c r="N37" i="106"/>
  <c r="N55" i="106" s="1"/>
  <c r="V37" i="106"/>
  <c r="V55" i="106" s="1"/>
  <c r="D37" i="90"/>
  <c r="D55" i="90" s="1"/>
  <c r="R37" i="90"/>
  <c r="R55" i="90" s="1"/>
  <c r="F37" i="90"/>
  <c r="F55" i="90" s="1"/>
  <c r="E37" i="90"/>
  <c r="E55" i="90" s="1"/>
  <c r="L37" i="106"/>
  <c r="L4" i="293" s="1"/>
  <c r="Q20" i="105"/>
  <c r="S20" i="105"/>
  <c r="I20" i="89"/>
  <c r="N37" i="90"/>
  <c r="N55" i="90" s="1"/>
  <c r="C37" i="90"/>
  <c r="C55" i="90" s="1"/>
  <c r="V20" i="89"/>
  <c r="I37" i="106"/>
  <c r="I55" i="106" s="1"/>
  <c r="N20" i="105"/>
  <c r="V20" i="105"/>
  <c r="T37" i="90"/>
  <c r="T55" i="90" s="1"/>
  <c r="L20" i="89"/>
  <c r="Z20" i="89"/>
  <c r="N9" i="302"/>
  <c r="J14" i="44"/>
  <c r="Z37" i="90"/>
  <c r="Z55" i="90" s="1"/>
  <c r="O37" i="106"/>
  <c r="O55" i="106" s="1"/>
  <c r="F37" i="106"/>
  <c r="F55" i="106" s="1"/>
  <c r="K37" i="106"/>
  <c r="K4" i="293" s="1"/>
  <c r="K18" i="293" s="1"/>
  <c r="J37" i="90"/>
  <c r="J55" i="90" s="1"/>
  <c r="V37" i="90"/>
  <c r="V55" i="90" s="1"/>
  <c r="G37" i="90"/>
  <c r="G55" i="90" s="1"/>
  <c r="T37" i="106"/>
  <c r="T55" i="106" s="1"/>
  <c r="O37" i="90"/>
  <c r="O55" i="90" s="1"/>
  <c r="E20" i="89"/>
  <c r="I37" i="90"/>
  <c r="I55" i="90" s="1"/>
  <c r="O9" i="302"/>
  <c r="N20" i="89"/>
  <c r="E37" i="106"/>
  <c r="E4" i="293" s="1"/>
  <c r="E18" i="293" s="1"/>
  <c r="I20" i="105"/>
  <c r="T20" i="105"/>
  <c r="X20" i="105"/>
  <c r="M37" i="90"/>
  <c r="M55" i="90" s="1"/>
  <c r="P20" i="89"/>
  <c r="S20" i="89"/>
  <c r="S37" i="90"/>
  <c r="S55" i="90" s="1"/>
  <c r="P37" i="106"/>
  <c r="P55" i="106" s="1"/>
  <c r="Z37" i="106"/>
  <c r="Z4" i="293" s="1"/>
  <c r="Z18" i="293" s="1"/>
  <c r="G37" i="106"/>
  <c r="G55" i="106" s="1"/>
  <c r="Y37" i="90"/>
  <c r="Y55" i="90" s="1"/>
  <c r="W37" i="90"/>
  <c r="W55" i="90" s="1"/>
  <c r="U37" i="90"/>
  <c r="U55" i="90" s="1"/>
  <c r="H37" i="90"/>
  <c r="H55" i="90" s="1"/>
  <c r="Q37" i="90"/>
  <c r="Q55" i="90" s="1"/>
  <c r="H20" i="105"/>
  <c r="P20" i="105"/>
  <c r="M37" i="106"/>
  <c r="M55" i="106" s="1"/>
  <c r="P37" i="90"/>
  <c r="P55" i="90" s="1"/>
  <c r="K37" i="90"/>
  <c r="K55" i="90" s="1"/>
  <c r="G9" i="302"/>
  <c r="L15" i="302"/>
  <c r="O9" i="281"/>
  <c r="D18" i="302" s="1"/>
  <c r="E42" i="302"/>
  <c r="H33" i="106"/>
  <c r="K33" i="106" s="1"/>
  <c r="F15" i="111"/>
  <c r="P15" i="302"/>
  <c r="N15" i="302"/>
  <c r="D9" i="302"/>
  <c r="F15" i="59"/>
  <c r="F15" i="49"/>
  <c r="F33" i="82"/>
  <c r="E33" i="82" s="1"/>
  <c r="N12" i="302"/>
  <c r="I12" i="302"/>
  <c r="B55" i="107"/>
  <c r="J56" i="107" s="1"/>
  <c r="J4" i="294" s="1"/>
  <c r="J18" i="294" s="1"/>
  <c r="F33" i="90"/>
  <c r="E33" i="90" s="1"/>
  <c r="F15" i="106"/>
  <c r="L27" i="302"/>
  <c r="L24" i="302"/>
  <c r="M33" i="302"/>
  <c r="M39" i="302"/>
  <c r="F15" i="50"/>
  <c r="F27" i="302"/>
  <c r="D33" i="50"/>
  <c r="O33" i="50" s="1"/>
  <c r="AB15" i="302" s="1"/>
  <c r="E39" i="302"/>
  <c r="E30" i="302"/>
  <c r="E36" i="302"/>
  <c r="F24" i="302"/>
  <c r="E45" i="302"/>
  <c r="F15" i="94"/>
  <c r="G30" i="302"/>
  <c r="H24" i="302"/>
  <c r="B37" i="107"/>
  <c r="F30" i="302"/>
  <c r="M30" i="302"/>
  <c r="H21" i="302"/>
  <c r="E9" i="302"/>
  <c r="H15" i="302"/>
  <c r="F15" i="302"/>
  <c r="D15" i="302"/>
  <c r="L21" i="302"/>
  <c r="F21" i="302"/>
  <c r="F33" i="50"/>
  <c r="E33" i="50" s="1"/>
  <c r="F15" i="102"/>
  <c r="F15" i="95"/>
  <c r="F15" i="107"/>
  <c r="F14" i="35"/>
  <c r="F33" i="35" s="1"/>
  <c r="E33" i="35" s="1"/>
  <c r="I9" i="302"/>
  <c r="K34" i="35"/>
  <c r="H33" i="35"/>
  <c r="K33" i="35" s="1"/>
  <c r="J1" i="294"/>
  <c r="J14" i="294" s="1"/>
  <c r="F9" i="107"/>
  <c r="F15" i="90"/>
  <c r="D23" i="102"/>
  <c r="D23" i="90"/>
  <c r="D9" i="49"/>
  <c r="K34" i="49"/>
  <c r="B37" i="111"/>
  <c r="C55" i="111"/>
  <c r="D9" i="95"/>
  <c r="K34" i="95"/>
  <c r="D33" i="95" s="1"/>
  <c r="J34" i="95" s="1"/>
  <c r="D9" i="106"/>
  <c r="O9" i="106" s="1"/>
  <c r="D39" i="302" s="1"/>
  <c r="D9" i="90"/>
  <c r="D23" i="94"/>
  <c r="D23" i="59"/>
  <c r="D23" i="111"/>
  <c r="W55" i="106"/>
  <c r="W4" i="293"/>
  <c r="W18" i="293" s="1"/>
  <c r="D9" i="82"/>
  <c r="D9" i="59"/>
  <c r="U55" i="106"/>
  <c r="U4" i="293"/>
  <c r="U18" i="293" s="1"/>
  <c r="D9" i="111"/>
  <c r="O9" i="111" s="1"/>
  <c r="K34" i="111"/>
  <c r="D33" i="111" s="1"/>
  <c r="J34" i="111" s="1"/>
  <c r="D9" i="94"/>
  <c r="O9" i="94" s="1"/>
  <c r="K34" i="94"/>
  <c r="D33" i="94" s="1"/>
  <c r="J34" i="94" s="1"/>
  <c r="C4" i="293"/>
  <c r="C5" i="293" s="1"/>
  <c r="C55" i="106"/>
  <c r="D9" i="102"/>
  <c r="K34" i="102"/>
  <c r="D33" i="102" s="1"/>
  <c r="J34" i="102" s="1"/>
  <c r="K34" i="107"/>
  <c r="D33" i="107" s="1"/>
  <c r="J34" i="107" s="1"/>
  <c r="D23" i="82"/>
  <c r="C55" i="102"/>
  <c r="B55" i="102" s="1"/>
  <c r="T56" i="102" s="1"/>
  <c r="T4" i="291" s="1"/>
  <c r="T18" i="291" s="1"/>
  <c r="B37" i="102"/>
  <c r="C55" i="82"/>
  <c r="B55" i="82" s="1"/>
  <c r="S56" i="82" s="1"/>
  <c r="S4" i="287" s="1"/>
  <c r="S18" i="287" s="1"/>
  <c r="B37" i="82"/>
  <c r="F15" i="82"/>
  <c r="C55" i="95"/>
  <c r="B37" i="95"/>
  <c r="C55" i="59"/>
  <c r="B37" i="59"/>
  <c r="B37" i="94"/>
  <c r="C55" i="94"/>
  <c r="B55" i="94" s="1"/>
  <c r="E56" i="94" s="1"/>
  <c r="E4" i="289" s="1"/>
  <c r="E18" i="289" s="1"/>
  <c r="B55" i="281"/>
  <c r="C56" i="281" s="1"/>
  <c r="C4" i="285" s="1"/>
  <c r="C5" i="285" s="1"/>
  <c r="D33" i="281"/>
  <c r="J34" i="281" s="1"/>
  <c r="P9" i="302" l="1"/>
  <c r="L14" i="44"/>
  <c r="H26" i="44"/>
  <c r="H16" i="44" s="1"/>
  <c r="Y4" i="293"/>
  <c r="Y18" i="293" s="1"/>
  <c r="L5" i="293"/>
  <c r="L14" i="293" s="1"/>
  <c r="AC25" i="44"/>
  <c r="X55" i="106"/>
  <c r="D4" i="293"/>
  <c r="D1" i="293" s="1"/>
  <c r="H55" i="106"/>
  <c r="V26" i="44"/>
  <c r="R55" i="106"/>
  <c r="S4" i="293"/>
  <c r="S18" i="293" s="1"/>
  <c r="N4" i="293"/>
  <c r="J4" i="293"/>
  <c r="J18" i="293" s="1"/>
  <c r="V4" i="293"/>
  <c r="V18" i="293" s="1"/>
  <c r="P4" i="293"/>
  <c r="Z55" i="106"/>
  <c r="B37" i="106"/>
  <c r="E55" i="106"/>
  <c r="L55" i="106"/>
  <c r="M4" i="293"/>
  <c r="M1" i="293" s="1"/>
  <c r="Q4" i="293"/>
  <c r="Q18" i="293" s="1"/>
  <c r="B55" i="90"/>
  <c r="Y56" i="90" s="1"/>
  <c r="Y4" i="288" s="1"/>
  <c r="Y18" i="288" s="1"/>
  <c r="T4" i="293"/>
  <c r="T18" i="293" s="1"/>
  <c r="K55" i="106"/>
  <c r="B37" i="90"/>
  <c r="I4" i="293"/>
  <c r="I18" i="293" s="1"/>
  <c r="F4" i="293"/>
  <c r="F18" i="293" s="1"/>
  <c r="G4" i="293"/>
  <c r="O4" i="293"/>
  <c r="H56" i="107"/>
  <c r="D24" i="107" s="1"/>
  <c r="D34" i="107" s="1"/>
  <c r="I56" i="107"/>
  <c r="I4" i="294" s="1"/>
  <c r="I1" i="294" s="1"/>
  <c r="D45" i="302"/>
  <c r="F56" i="107"/>
  <c r="F4" i="294" s="1"/>
  <c r="F18" i="294" s="1"/>
  <c r="U56" i="107"/>
  <c r="U4" i="294" s="1"/>
  <c r="U18" i="294" s="1"/>
  <c r="P56" i="107"/>
  <c r="P4" i="294" s="1"/>
  <c r="M56" i="107"/>
  <c r="M4" i="294" s="1"/>
  <c r="M1" i="294" s="1"/>
  <c r="L56" i="107"/>
  <c r="L4" i="294" s="1"/>
  <c r="E56" i="107"/>
  <c r="E4" i="294" s="1"/>
  <c r="E18" i="294" s="1"/>
  <c r="S56" i="107"/>
  <c r="S4" i="294" s="1"/>
  <c r="S18" i="294" s="1"/>
  <c r="X56" i="107"/>
  <c r="X4" i="294" s="1"/>
  <c r="X18" i="294" s="1"/>
  <c r="V56" i="107"/>
  <c r="V4" i="294" s="1"/>
  <c r="V18" i="294" s="1"/>
  <c r="B56" i="107"/>
  <c r="R56" i="107"/>
  <c r="R4" i="294" s="1"/>
  <c r="R18" i="294" s="1"/>
  <c r="D30" i="302"/>
  <c r="K56" i="107"/>
  <c r="K4" i="294" s="1"/>
  <c r="K18" i="294" s="1"/>
  <c r="N56" i="107"/>
  <c r="N4" i="294" s="1"/>
  <c r="W56" i="107"/>
  <c r="W4" i="294" s="1"/>
  <c r="W18" i="294" s="1"/>
  <c r="C56" i="107"/>
  <c r="C4" i="294" s="1"/>
  <c r="C5" i="294" s="1"/>
  <c r="D56" i="107"/>
  <c r="D4" i="294" s="1"/>
  <c r="Q56" i="107"/>
  <c r="Q4" i="294" s="1"/>
  <c r="Q18" i="294" s="1"/>
  <c r="G56" i="107"/>
  <c r="G4" i="294" s="1"/>
  <c r="Y56" i="107"/>
  <c r="Y4" i="294" s="1"/>
  <c r="Y18" i="294" s="1"/>
  <c r="Z56" i="107"/>
  <c r="Z4" i="294" s="1"/>
  <c r="Z18" i="294" s="1"/>
  <c r="T56" i="107"/>
  <c r="T4" i="294" s="1"/>
  <c r="T18" i="294" s="1"/>
  <c r="O56" i="107"/>
  <c r="O4" i="294" s="1"/>
  <c r="F15" i="35"/>
  <c r="D33" i="49"/>
  <c r="D34" i="49" s="1"/>
  <c r="J34" i="50"/>
  <c r="H18" i="293"/>
  <c r="E14" i="275"/>
  <c r="K1" i="294"/>
  <c r="K14" i="294" s="1"/>
  <c r="K1" i="293"/>
  <c r="K14" i="293" s="1"/>
  <c r="J1" i="293"/>
  <c r="J14" i="293" s="1"/>
  <c r="J1" i="278"/>
  <c r="J14" i="278" s="1"/>
  <c r="F9" i="102"/>
  <c r="O9" i="102"/>
  <c r="F9" i="59"/>
  <c r="O9" i="59"/>
  <c r="F9" i="82"/>
  <c r="O9" i="82"/>
  <c r="D24" i="302" s="1"/>
  <c r="F9" i="90"/>
  <c r="O9" i="90"/>
  <c r="D27" i="302" s="1"/>
  <c r="F9" i="49"/>
  <c r="O9" i="49"/>
  <c r="D12" i="302" s="1"/>
  <c r="F9" i="94"/>
  <c r="F9" i="111"/>
  <c r="F9" i="95"/>
  <c r="O9" i="95"/>
  <c r="F9" i="106"/>
  <c r="K34" i="90"/>
  <c r="D33" i="90" s="1"/>
  <c r="J34" i="90" s="1"/>
  <c r="O56" i="82"/>
  <c r="O4" i="287" s="1"/>
  <c r="O5" i="287" s="1"/>
  <c r="O14" i="287" s="1"/>
  <c r="Q56" i="82"/>
  <c r="Q4" i="287" s="1"/>
  <c r="Q18" i="287" s="1"/>
  <c r="J56" i="82"/>
  <c r="J4" i="287" s="1"/>
  <c r="J18" i="287" s="1"/>
  <c r="T56" i="82"/>
  <c r="T4" i="287" s="1"/>
  <c r="T18" i="287" s="1"/>
  <c r="X56" i="82"/>
  <c r="X4" i="287" s="1"/>
  <c r="X18" i="287" s="1"/>
  <c r="L56" i="82"/>
  <c r="L4" i="287" s="1"/>
  <c r="W56" i="82"/>
  <c r="W4" i="287" s="1"/>
  <c r="W18" i="287" s="1"/>
  <c r="V56" i="82"/>
  <c r="V4" i="287" s="1"/>
  <c r="V18" i="287" s="1"/>
  <c r="L56" i="102"/>
  <c r="L4" i="291" s="1"/>
  <c r="G56" i="82"/>
  <c r="G4" i="287" s="1"/>
  <c r="H56" i="82"/>
  <c r="H4" i="287" s="1"/>
  <c r="Z56" i="82"/>
  <c r="Z4" i="287" s="1"/>
  <c r="Z18" i="287" s="1"/>
  <c r="R56" i="82"/>
  <c r="R4" i="287" s="1"/>
  <c r="R18" i="287" s="1"/>
  <c r="Y56" i="82"/>
  <c r="Y4" i="287" s="1"/>
  <c r="Y18" i="287" s="1"/>
  <c r="F56" i="82"/>
  <c r="F4" i="287" s="1"/>
  <c r="F18" i="287" s="1"/>
  <c r="E56" i="102"/>
  <c r="E4" i="291" s="1"/>
  <c r="E18" i="291" s="1"/>
  <c r="R56" i="102"/>
  <c r="R4" i="291" s="1"/>
  <c r="R18" i="291" s="1"/>
  <c r="P56" i="82"/>
  <c r="P4" i="287" s="1"/>
  <c r="J56" i="94"/>
  <c r="J4" i="289" s="1"/>
  <c r="J18" i="289" s="1"/>
  <c r="W56" i="102"/>
  <c r="W4" i="291" s="1"/>
  <c r="W18" i="291" s="1"/>
  <c r="P56" i="102"/>
  <c r="P4" i="291" s="1"/>
  <c r="R56" i="94"/>
  <c r="R4" i="289" s="1"/>
  <c r="R18" i="289" s="1"/>
  <c r="C56" i="94"/>
  <c r="C4" i="289" s="1"/>
  <c r="C5" i="289" s="1"/>
  <c r="B56" i="94"/>
  <c r="F56" i="94"/>
  <c r="F4" i="289" s="1"/>
  <c r="F18" i="289" s="1"/>
  <c r="M56" i="94"/>
  <c r="M4" i="289" s="1"/>
  <c r="O56" i="102"/>
  <c r="O4" i="291" s="1"/>
  <c r="O5" i="291" s="1"/>
  <c r="O14" i="291" s="1"/>
  <c r="V56" i="102"/>
  <c r="V4" i="291" s="1"/>
  <c r="V18" i="291" s="1"/>
  <c r="L56" i="94"/>
  <c r="L4" i="289" s="1"/>
  <c r="L1" i="293"/>
  <c r="Y56" i="102"/>
  <c r="Y4" i="291" s="1"/>
  <c r="Y18" i="291" s="1"/>
  <c r="S56" i="102"/>
  <c r="S4" i="291" s="1"/>
  <c r="S18" i="291" s="1"/>
  <c r="K56" i="102"/>
  <c r="K4" i="291" s="1"/>
  <c r="K18" i="291" s="1"/>
  <c r="U56" i="102"/>
  <c r="U4" i="291" s="1"/>
  <c r="U18" i="291" s="1"/>
  <c r="V56" i="94"/>
  <c r="V4" i="289" s="1"/>
  <c r="V18" i="289" s="1"/>
  <c r="X56" i="102"/>
  <c r="X4" i="291" s="1"/>
  <c r="X18" i="291" s="1"/>
  <c r="I56" i="102"/>
  <c r="I4" i="291" s="1"/>
  <c r="I18" i="291" s="1"/>
  <c r="C56" i="102"/>
  <c r="C4" i="291" s="1"/>
  <c r="C5" i="291" s="1"/>
  <c r="B56" i="102"/>
  <c r="G56" i="102"/>
  <c r="G4" i="291" s="1"/>
  <c r="M56" i="102"/>
  <c r="M4" i="291" s="1"/>
  <c r="H56" i="102"/>
  <c r="N56" i="102"/>
  <c r="N4" i="291" s="1"/>
  <c r="Z56" i="94"/>
  <c r="Z4" i="289" s="1"/>
  <c r="Z18" i="289" s="1"/>
  <c r="K34" i="82"/>
  <c r="D33" i="82" s="1"/>
  <c r="J34" i="82" s="1"/>
  <c r="D56" i="94"/>
  <c r="D4" i="289" s="1"/>
  <c r="K34" i="59"/>
  <c r="D33" i="59" s="1"/>
  <c r="J34" i="59" s="1"/>
  <c r="H1" i="293"/>
  <c r="N56" i="94"/>
  <c r="N4" i="289" s="1"/>
  <c r="I56" i="94"/>
  <c r="I4" i="289" s="1"/>
  <c r="I18" i="289" s="1"/>
  <c r="X56" i="94"/>
  <c r="X4" i="289" s="1"/>
  <c r="X18" i="289" s="1"/>
  <c r="B55" i="59"/>
  <c r="C56" i="59" s="1"/>
  <c r="C4" i="286" s="1"/>
  <c r="C5" i="286" s="1"/>
  <c r="M56" i="82"/>
  <c r="M4" i="287" s="1"/>
  <c r="S56" i="94"/>
  <c r="S4" i="289" s="1"/>
  <c r="S18" i="289" s="1"/>
  <c r="B55" i="111"/>
  <c r="C56" i="111" s="1"/>
  <c r="C4" i="295" s="1"/>
  <c r="C5" i="295" s="1"/>
  <c r="T56" i="94"/>
  <c r="T4" i="289" s="1"/>
  <c r="T18" i="289" s="1"/>
  <c r="B55" i="95"/>
  <c r="C56" i="95" s="1"/>
  <c r="C4" i="290" s="1"/>
  <c r="C5" i="290" s="1"/>
  <c r="F56" i="102"/>
  <c r="F4" i="291" s="1"/>
  <c r="F18" i="291" s="1"/>
  <c r="P56" i="94"/>
  <c r="P4" i="289" s="1"/>
  <c r="O56" i="94"/>
  <c r="O4" i="289" s="1"/>
  <c r="O5" i="289" s="1"/>
  <c r="O14" i="289" s="1"/>
  <c r="G56" i="94"/>
  <c r="G4" i="289" s="1"/>
  <c r="H56" i="94"/>
  <c r="Q56" i="102"/>
  <c r="Q4" i="291" s="1"/>
  <c r="Q18" i="291" s="1"/>
  <c r="D56" i="102"/>
  <c r="I56" i="82"/>
  <c r="I4" i="287" s="1"/>
  <c r="I18" i="287" s="1"/>
  <c r="N56" i="82"/>
  <c r="N4" i="287" s="1"/>
  <c r="W56" i="94"/>
  <c r="W4" i="289" s="1"/>
  <c r="W18" i="289" s="1"/>
  <c r="E56" i="82"/>
  <c r="E4" i="287" s="1"/>
  <c r="E18" i="287" s="1"/>
  <c r="D56" i="82"/>
  <c r="D4" i="287" s="1"/>
  <c r="Y56" i="94"/>
  <c r="Y4" i="289" s="1"/>
  <c r="Y18" i="289" s="1"/>
  <c r="K56" i="94"/>
  <c r="K4" i="289" s="1"/>
  <c r="K18" i="289" s="1"/>
  <c r="J56" i="102"/>
  <c r="J4" i="291" s="1"/>
  <c r="J18" i="291" s="1"/>
  <c r="C56" i="82"/>
  <c r="C4" i="287" s="1"/>
  <c r="C5" i="287" s="1"/>
  <c r="B56" i="82"/>
  <c r="Z56" i="102"/>
  <c r="Z4" i="291" s="1"/>
  <c r="Z18" i="291" s="1"/>
  <c r="U56" i="94"/>
  <c r="U4" i="289" s="1"/>
  <c r="U18" i="289" s="1"/>
  <c r="Q56" i="94"/>
  <c r="Q4" i="289" s="1"/>
  <c r="Q18" i="289" s="1"/>
  <c r="U56" i="82"/>
  <c r="U4" i="287" s="1"/>
  <c r="U18" i="287" s="1"/>
  <c r="K56" i="82"/>
  <c r="K4" i="287" s="1"/>
  <c r="K18" i="287" s="1"/>
  <c r="D34" i="95"/>
  <c r="D24" i="35"/>
  <c r="B56" i="281"/>
  <c r="D56" i="281"/>
  <c r="D4" i="285" s="1"/>
  <c r="P56" i="281"/>
  <c r="Z56" i="281"/>
  <c r="Z4" i="285" s="1"/>
  <c r="Z18" i="285" s="1"/>
  <c r="L56" i="281"/>
  <c r="L4" i="285" s="1"/>
  <c r="L5" i="285" s="1"/>
  <c r="V56" i="281"/>
  <c r="V4" i="285" s="1"/>
  <c r="V18" i="285" s="1"/>
  <c r="X56" i="281"/>
  <c r="X4" i="285" s="1"/>
  <c r="X18" i="285" s="1"/>
  <c r="M56" i="281"/>
  <c r="M4" i="285" s="1"/>
  <c r="F56" i="281"/>
  <c r="F4" i="285" s="1"/>
  <c r="F18" i="285" s="1"/>
  <c r="T56" i="281"/>
  <c r="T4" i="285" s="1"/>
  <c r="T18" i="285" s="1"/>
  <c r="W56" i="281"/>
  <c r="W4" i="285" s="1"/>
  <c r="W18" i="285" s="1"/>
  <c r="S56" i="281"/>
  <c r="S4" i="285" s="1"/>
  <c r="S18" i="285" s="1"/>
  <c r="U56" i="281"/>
  <c r="U4" i="285" s="1"/>
  <c r="U18" i="285" s="1"/>
  <c r="E56" i="281"/>
  <c r="E4" i="285" s="1"/>
  <c r="E18" i="285" s="1"/>
  <c r="N56" i="281"/>
  <c r="N4" i="285" s="1"/>
  <c r="I56" i="281"/>
  <c r="I4" i="285" s="1"/>
  <c r="I18" i="285" s="1"/>
  <c r="O56" i="281"/>
  <c r="O4" i="285" s="1"/>
  <c r="Q56" i="281"/>
  <c r="Q4" i="285" s="1"/>
  <c r="Q18" i="285" s="1"/>
  <c r="Y56" i="281"/>
  <c r="Y4" i="285" s="1"/>
  <c r="Y18" i="285" s="1"/>
  <c r="J56" i="281"/>
  <c r="J4" i="285" s="1"/>
  <c r="J18" i="285" s="1"/>
  <c r="K56" i="281"/>
  <c r="K4" i="285" s="1"/>
  <c r="K18" i="285" s="1"/>
  <c r="G56" i="281"/>
  <c r="G4" i="285" s="1"/>
  <c r="H56" i="281"/>
  <c r="R56" i="281"/>
  <c r="R4" i="285" s="1"/>
  <c r="R18" i="285" s="1"/>
  <c r="D24" i="50"/>
  <c r="U25" i="44" l="1"/>
  <c r="K16" i="44"/>
  <c r="AC26" i="44"/>
  <c r="L16" i="44" s="1"/>
  <c r="G7" i="287"/>
  <c r="G18" i="287" s="1"/>
  <c r="D18" i="293"/>
  <c r="N5" i="287"/>
  <c r="N14" i="287" s="1"/>
  <c r="G25" i="44"/>
  <c r="N7" i="289"/>
  <c r="N18" i="289" s="1"/>
  <c r="O5" i="293"/>
  <c r="O14" i="293" s="1"/>
  <c r="N5" i="291"/>
  <c r="N14" i="291" s="1"/>
  <c r="G1" i="293"/>
  <c r="G5" i="293"/>
  <c r="G14" i="293" s="1"/>
  <c r="N1" i="293"/>
  <c r="N5" i="293"/>
  <c r="N14" i="293" s="1"/>
  <c r="G5" i="287"/>
  <c r="G14" i="287" s="1"/>
  <c r="L5" i="291"/>
  <c r="L14" i="291" s="1"/>
  <c r="L5" i="287"/>
  <c r="L14" i="287" s="1"/>
  <c r="O5" i="294"/>
  <c r="O14" i="294" s="1"/>
  <c r="G7" i="293"/>
  <c r="G18" i="293" s="1"/>
  <c r="N7" i="291"/>
  <c r="N18" i="291" s="1"/>
  <c r="L5" i="294"/>
  <c r="L14" i="294" s="1"/>
  <c r="N7" i="287"/>
  <c r="N18" i="287" s="1"/>
  <c r="G1" i="294"/>
  <c r="P18" i="294"/>
  <c r="N7" i="294"/>
  <c r="N18" i="294" s="1"/>
  <c r="N5" i="289"/>
  <c r="N14" i="289" s="1"/>
  <c r="D1" i="294"/>
  <c r="D14" i="294" s="1"/>
  <c r="P18" i="293"/>
  <c r="N7" i="293"/>
  <c r="N18" i="293" s="1"/>
  <c r="O5" i="285"/>
  <c r="O14" i="285" s="1"/>
  <c r="L5" i="289"/>
  <c r="L14" i="289" s="1"/>
  <c r="N1" i="294"/>
  <c r="N5" i="294"/>
  <c r="N14" i="294" s="1"/>
  <c r="N25" i="44"/>
  <c r="X26" i="44"/>
  <c r="W26" i="44"/>
  <c r="U26" i="44"/>
  <c r="A26" i="44" s="1"/>
  <c r="O18" i="293"/>
  <c r="B55" i="106"/>
  <c r="B56" i="106" s="1"/>
  <c r="L14" i="285"/>
  <c r="X56" i="90"/>
  <c r="X4" i="288" s="1"/>
  <c r="X18" i="288" s="1"/>
  <c r="N56" i="90"/>
  <c r="N4" i="288" s="1"/>
  <c r="K56" i="90"/>
  <c r="K4" i="288" s="1"/>
  <c r="K18" i="288" s="1"/>
  <c r="J56" i="90"/>
  <c r="J4" i="288" s="1"/>
  <c r="J18" i="288" s="1"/>
  <c r="G56" i="90"/>
  <c r="G4" i="288" s="1"/>
  <c r="M56" i="90"/>
  <c r="M4" i="288" s="1"/>
  <c r="M1" i="288" s="1"/>
  <c r="S56" i="90"/>
  <c r="S4" i="288" s="1"/>
  <c r="S18" i="288" s="1"/>
  <c r="Q56" i="90"/>
  <c r="Q4" i="288" s="1"/>
  <c r="Q18" i="288" s="1"/>
  <c r="I1" i="293"/>
  <c r="H56" i="90"/>
  <c r="H4" i="288" s="1"/>
  <c r="T56" i="90"/>
  <c r="T4" i="288" s="1"/>
  <c r="T18" i="288" s="1"/>
  <c r="B56" i="90"/>
  <c r="L56" i="90"/>
  <c r="L4" i="288" s="1"/>
  <c r="M14" i="293"/>
  <c r="V56" i="90"/>
  <c r="V4" i="288" s="1"/>
  <c r="V18" i="288" s="1"/>
  <c r="Z56" i="90"/>
  <c r="Z4" i="288" s="1"/>
  <c r="Z18" i="288" s="1"/>
  <c r="C56" i="90"/>
  <c r="C4" i="288" s="1"/>
  <c r="C5" i="288" s="1"/>
  <c r="W56" i="90"/>
  <c r="W4" i="288" s="1"/>
  <c r="W18" i="288" s="1"/>
  <c r="I56" i="90"/>
  <c r="I4" i="288" s="1"/>
  <c r="I18" i="288" s="1"/>
  <c r="O56" i="90"/>
  <c r="O4" i="288" s="1"/>
  <c r="U56" i="90"/>
  <c r="U4" i="288" s="1"/>
  <c r="U18" i="288" s="1"/>
  <c r="M18" i="293"/>
  <c r="P56" i="90"/>
  <c r="P4" i="288" s="1"/>
  <c r="R56" i="90"/>
  <c r="R4" i="288" s="1"/>
  <c r="R18" i="288" s="1"/>
  <c r="D56" i="90"/>
  <c r="D4" i="288" s="1"/>
  <c r="F56" i="90"/>
  <c r="F4" i="288" s="1"/>
  <c r="F18" i="288" s="1"/>
  <c r="E56" i="90"/>
  <c r="E4" i="288" s="1"/>
  <c r="E18" i="288" s="1"/>
  <c r="O1" i="293"/>
  <c r="C18" i="293"/>
  <c r="B4" i="293"/>
  <c r="F1" i="293"/>
  <c r="H4" i="294"/>
  <c r="H18" i="294" s="1"/>
  <c r="I18" i="294"/>
  <c r="D18" i="294"/>
  <c r="M14" i="278"/>
  <c r="D18" i="276"/>
  <c r="D41" i="44" s="1"/>
  <c r="M14" i="275"/>
  <c r="D36" i="302"/>
  <c r="L1" i="294"/>
  <c r="F1" i="294"/>
  <c r="O18" i="294"/>
  <c r="O1" i="294"/>
  <c r="J34" i="49"/>
  <c r="D33" i="302"/>
  <c r="C18" i="294"/>
  <c r="M14" i="294"/>
  <c r="M18" i="294"/>
  <c r="O24" i="50"/>
  <c r="S15" i="302" s="1"/>
  <c r="D34" i="50"/>
  <c r="O34" i="50" s="1"/>
  <c r="O33" i="49"/>
  <c r="AB12" i="302" s="1"/>
  <c r="D21" i="302"/>
  <c r="M14" i="287"/>
  <c r="D18" i="289"/>
  <c r="C18" i="289"/>
  <c r="D18" i="285"/>
  <c r="C18" i="285"/>
  <c r="P18" i="287"/>
  <c r="M18" i="287"/>
  <c r="O18" i="285"/>
  <c r="O18" i="291"/>
  <c r="O18" i="289"/>
  <c r="M14" i="289"/>
  <c r="M14" i="276"/>
  <c r="D18" i="287"/>
  <c r="C18" i="287"/>
  <c r="M14" i="291"/>
  <c r="P18" i="289"/>
  <c r="M18" i="289"/>
  <c r="G41" i="44"/>
  <c r="P18" i="291"/>
  <c r="M18" i="291"/>
  <c r="H18" i="287"/>
  <c r="C18" i="278"/>
  <c r="M18" i="278"/>
  <c r="F14" i="275"/>
  <c r="E1" i="275"/>
  <c r="O1" i="287"/>
  <c r="O18" i="287"/>
  <c r="K1" i="291"/>
  <c r="K14" i="291" s="1"/>
  <c r="K1" i="276"/>
  <c r="K14" i="276" s="1"/>
  <c r="K1" i="278"/>
  <c r="K14" i="278" s="1"/>
  <c r="K1" i="288"/>
  <c r="K14" i="288" s="1"/>
  <c r="K1" i="289"/>
  <c r="K14" i="289" s="1"/>
  <c r="K1" i="287"/>
  <c r="K14" i="287" s="1"/>
  <c r="P4" i="285"/>
  <c r="N7" i="285" s="1"/>
  <c r="J1" i="289"/>
  <c r="J14" i="289" s="1"/>
  <c r="J1" i="287"/>
  <c r="J14" i="287" s="1"/>
  <c r="F1" i="289"/>
  <c r="F1" i="287"/>
  <c r="J1" i="288"/>
  <c r="J14" i="288" s="1"/>
  <c r="L1" i="287"/>
  <c r="D4" i="291"/>
  <c r="J1" i="291"/>
  <c r="J14" i="291" s="1"/>
  <c r="J1" i="285"/>
  <c r="J14" i="285" s="1"/>
  <c r="G1" i="287"/>
  <c r="J1" i="276"/>
  <c r="J14" i="276" s="1"/>
  <c r="I14" i="276"/>
  <c r="H14" i="276"/>
  <c r="F14" i="276"/>
  <c r="D24" i="82"/>
  <c r="D34" i="82" s="1"/>
  <c r="L1" i="291"/>
  <c r="B4" i="287"/>
  <c r="L1" i="289"/>
  <c r="N1" i="289"/>
  <c r="F1" i="291"/>
  <c r="D14" i="293"/>
  <c r="D1" i="289"/>
  <c r="L56" i="95"/>
  <c r="L4" i="290" s="1"/>
  <c r="B56" i="95"/>
  <c r="M56" i="95"/>
  <c r="M4" i="290" s="1"/>
  <c r="H56" i="95"/>
  <c r="H4" i="290" s="1"/>
  <c r="P56" i="95"/>
  <c r="P4" i="290" s="1"/>
  <c r="F56" i="95"/>
  <c r="F4" i="290" s="1"/>
  <c r="F18" i="290" s="1"/>
  <c r="Y56" i="95"/>
  <c r="Y4" i="290" s="1"/>
  <c r="Y18" i="290" s="1"/>
  <c r="O56" i="95"/>
  <c r="O4" i="290" s="1"/>
  <c r="O5" i="290" s="1"/>
  <c r="O14" i="290" s="1"/>
  <c r="G56" i="95"/>
  <c r="G4" i="290" s="1"/>
  <c r="I56" i="95"/>
  <c r="I4" i="290" s="1"/>
  <c r="I18" i="290" s="1"/>
  <c r="X56" i="95"/>
  <c r="X4" i="290" s="1"/>
  <c r="X18" i="290" s="1"/>
  <c r="N56" i="95"/>
  <c r="N4" i="290" s="1"/>
  <c r="T56" i="95"/>
  <c r="T4" i="290" s="1"/>
  <c r="T18" i="290" s="1"/>
  <c r="S56" i="95"/>
  <c r="S4" i="290" s="1"/>
  <c r="S18" i="290" s="1"/>
  <c r="Z56" i="95"/>
  <c r="Z4" i="290" s="1"/>
  <c r="Z18" i="290" s="1"/>
  <c r="V56" i="95"/>
  <c r="V4" i="290" s="1"/>
  <c r="V18" i="290" s="1"/>
  <c r="R56" i="95"/>
  <c r="R4" i="290" s="1"/>
  <c r="R18" i="290" s="1"/>
  <c r="D56" i="95"/>
  <c r="D4" i="290" s="1"/>
  <c r="Q56" i="95"/>
  <c r="K56" i="95"/>
  <c r="K4" i="290" s="1"/>
  <c r="K18" i="290" s="1"/>
  <c r="E56" i="95"/>
  <c r="E4" i="290" s="1"/>
  <c r="E18" i="290" s="1"/>
  <c r="U56" i="95"/>
  <c r="U4" i="290" s="1"/>
  <c r="U18" i="290" s="1"/>
  <c r="J56" i="95"/>
  <c r="J4" i="290" s="1"/>
  <c r="J18" i="290" s="1"/>
  <c r="W56" i="95"/>
  <c r="W4" i="290" s="1"/>
  <c r="W18" i="290" s="1"/>
  <c r="O1" i="291"/>
  <c r="D23" i="106"/>
  <c r="K34" i="106"/>
  <c r="D33" i="106" s="1"/>
  <c r="J34" i="106" s="1"/>
  <c r="N1" i="291"/>
  <c r="M1" i="289"/>
  <c r="B56" i="59"/>
  <c r="U56" i="59"/>
  <c r="U4" i="286" s="1"/>
  <c r="U18" i="286" s="1"/>
  <c r="H56" i="59"/>
  <c r="N56" i="59"/>
  <c r="N4" i="286" s="1"/>
  <c r="G56" i="59"/>
  <c r="G4" i="286" s="1"/>
  <c r="J56" i="59"/>
  <c r="J4" i="286" s="1"/>
  <c r="J18" i="286" s="1"/>
  <c r="V56" i="59"/>
  <c r="V4" i="286" s="1"/>
  <c r="V18" i="286" s="1"/>
  <c r="P56" i="59"/>
  <c r="P4" i="286" s="1"/>
  <c r="M56" i="59"/>
  <c r="M4" i="286" s="1"/>
  <c r="D56" i="59"/>
  <c r="D4" i="286" s="1"/>
  <c r="O56" i="59"/>
  <c r="O4" i="286" s="1"/>
  <c r="O5" i="286" s="1"/>
  <c r="O14" i="286" s="1"/>
  <c r="L56" i="59"/>
  <c r="L4" i="286" s="1"/>
  <c r="X56" i="59"/>
  <c r="X4" i="286" s="1"/>
  <c r="X18" i="286" s="1"/>
  <c r="K56" i="59"/>
  <c r="I56" i="59"/>
  <c r="I4" i="286" s="1"/>
  <c r="I18" i="286" s="1"/>
  <c r="F56" i="59"/>
  <c r="F4" i="286" s="1"/>
  <c r="F18" i="286" s="1"/>
  <c r="Y56" i="59"/>
  <c r="Y4" i="286" s="1"/>
  <c r="Y18" i="286" s="1"/>
  <c r="E56" i="59"/>
  <c r="E4" i="286" s="1"/>
  <c r="E18" i="286" s="1"/>
  <c r="S56" i="59"/>
  <c r="S4" i="286" s="1"/>
  <c r="S18" i="286" s="1"/>
  <c r="R56" i="59"/>
  <c r="R4" i="286" s="1"/>
  <c r="R18" i="286" s="1"/>
  <c r="Q56" i="59"/>
  <c r="Q4" i="286" s="1"/>
  <c r="Q18" i="286" s="1"/>
  <c r="T56" i="59"/>
  <c r="T4" i="286" s="1"/>
  <c r="T18" i="286" s="1"/>
  <c r="Z56" i="59"/>
  <c r="Z4" i="286" s="1"/>
  <c r="Z18" i="286" s="1"/>
  <c r="W56" i="59"/>
  <c r="W4" i="286" s="1"/>
  <c r="W18" i="286" s="1"/>
  <c r="H1" i="287"/>
  <c r="D1" i="287"/>
  <c r="D24" i="90"/>
  <c r="D34" i="90" s="1"/>
  <c r="B56" i="111"/>
  <c r="I56" i="111"/>
  <c r="I4" i="295" s="1"/>
  <c r="I18" i="295" s="1"/>
  <c r="Q56" i="111"/>
  <c r="Q4" i="295" s="1"/>
  <c r="Q18" i="295" s="1"/>
  <c r="K56" i="111"/>
  <c r="K4" i="295" s="1"/>
  <c r="K18" i="295" s="1"/>
  <c r="W56" i="111"/>
  <c r="W4" i="295" s="1"/>
  <c r="W18" i="295" s="1"/>
  <c r="L56" i="111"/>
  <c r="L4" i="295" s="1"/>
  <c r="N56" i="111"/>
  <c r="N4" i="295" s="1"/>
  <c r="O56" i="111"/>
  <c r="O4" i="295" s="1"/>
  <c r="O5" i="295" s="1"/>
  <c r="O14" i="295" s="1"/>
  <c r="M56" i="111"/>
  <c r="M4" i="295" s="1"/>
  <c r="Z56" i="111"/>
  <c r="Z4" i="295" s="1"/>
  <c r="Z18" i="295" s="1"/>
  <c r="R56" i="111"/>
  <c r="R4" i="295" s="1"/>
  <c r="R18" i="295" s="1"/>
  <c r="Y56" i="111"/>
  <c r="Y4" i="295" s="1"/>
  <c r="Y18" i="295" s="1"/>
  <c r="T56" i="111"/>
  <c r="T4" i="295" s="1"/>
  <c r="T18" i="295" s="1"/>
  <c r="D56" i="111"/>
  <c r="D4" i="295" s="1"/>
  <c r="J56" i="111"/>
  <c r="J4" i="295" s="1"/>
  <c r="J18" i="295" s="1"/>
  <c r="E56" i="111"/>
  <c r="E4" i="295" s="1"/>
  <c r="E18" i="295" s="1"/>
  <c r="F56" i="111"/>
  <c r="F4" i="295" s="1"/>
  <c r="F18" i="295" s="1"/>
  <c r="X56" i="111"/>
  <c r="X4" i="295" s="1"/>
  <c r="X18" i="295" s="1"/>
  <c r="S56" i="111"/>
  <c r="S4" i="295" s="1"/>
  <c r="S18" i="295" s="1"/>
  <c r="U56" i="111"/>
  <c r="U4" i="295" s="1"/>
  <c r="U18" i="295" s="1"/>
  <c r="P56" i="111"/>
  <c r="P4" i="295" s="1"/>
  <c r="V56" i="111"/>
  <c r="V4" i="295" s="1"/>
  <c r="V18" i="295" s="1"/>
  <c r="H56" i="111"/>
  <c r="G56" i="111"/>
  <c r="G4" i="295" s="1"/>
  <c r="D24" i="94"/>
  <c r="D34" i="94" s="1"/>
  <c r="H4" i="289"/>
  <c r="G5" i="289" s="1"/>
  <c r="N1" i="287"/>
  <c r="G1" i="289"/>
  <c r="M1" i="287"/>
  <c r="I1" i="289"/>
  <c r="D24" i="102"/>
  <c r="D34" i="102" s="1"/>
  <c r="H4" i="291"/>
  <c r="I1" i="291"/>
  <c r="M1" i="291"/>
  <c r="I1" i="287"/>
  <c r="O1" i="289"/>
  <c r="G1" i="291"/>
  <c r="F1" i="285"/>
  <c r="N1" i="285"/>
  <c r="M1" i="285"/>
  <c r="G1" i="285"/>
  <c r="L1" i="285"/>
  <c r="D1" i="285"/>
  <c r="O1" i="285"/>
  <c r="H4" i="285"/>
  <c r="G5" i="285" s="1"/>
  <c r="D24" i="281"/>
  <c r="D34" i="281" s="1"/>
  <c r="I1" i="285"/>
  <c r="AB25" i="44" l="1"/>
  <c r="A25" i="44" s="1"/>
  <c r="G16" i="44" s="1"/>
  <c r="G7" i="288"/>
  <c r="G7" i="290"/>
  <c r="N7" i="288"/>
  <c r="G7" i="285"/>
  <c r="G7" i="294"/>
  <c r="G18" i="294" s="1"/>
  <c r="B18" i="294" s="1"/>
  <c r="L5" i="290"/>
  <c r="L14" i="290" s="1"/>
  <c r="G7" i="291"/>
  <c r="G18" i="291" s="1"/>
  <c r="G5" i="291"/>
  <c r="G14" i="291" s="1"/>
  <c r="N5" i="295"/>
  <c r="N14" i="295" s="1"/>
  <c r="L5" i="295"/>
  <c r="L14" i="295" s="1"/>
  <c r="G1" i="288"/>
  <c r="G5" i="288"/>
  <c r="G14" i="288" s="1"/>
  <c r="N5" i="286"/>
  <c r="N14" i="286" s="1"/>
  <c r="O18" i="288"/>
  <c r="O5" i="288"/>
  <c r="O14" i="288" s="1"/>
  <c r="N5" i="290"/>
  <c r="N14" i="290" s="1"/>
  <c r="G5" i="294"/>
  <c r="N1" i="288"/>
  <c r="N5" i="288"/>
  <c r="N5" i="285"/>
  <c r="L5" i="286"/>
  <c r="L14" i="286" s="1"/>
  <c r="G5" i="290"/>
  <c r="G14" i="290" s="1"/>
  <c r="N7" i="295"/>
  <c r="N18" i="295" s="1"/>
  <c r="L5" i="288"/>
  <c r="L14" i="288" s="1"/>
  <c r="N7" i="286"/>
  <c r="N18" i="286" s="1"/>
  <c r="N7" i="290"/>
  <c r="N18" i="290" s="1"/>
  <c r="G7" i="289"/>
  <c r="G18" i="289" s="1"/>
  <c r="H56" i="106"/>
  <c r="D24" i="106" s="1"/>
  <c r="D34" i="106" s="1"/>
  <c r="G56" i="106"/>
  <c r="Q56" i="106"/>
  <c r="K56" i="106"/>
  <c r="Z56" i="106"/>
  <c r="F56" i="106"/>
  <c r="P56" i="106"/>
  <c r="W56" i="106"/>
  <c r="S56" i="106"/>
  <c r="X56" i="106"/>
  <c r="D56" i="106"/>
  <c r="T56" i="106"/>
  <c r="O56" i="106"/>
  <c r="M56" i="106"/>
  <c r="R56" i="106"/>
  <c r="E56" i="106"/>
  <c r="L56" i="106"/>
  <c r="U56" i="106"/>
  <c r="N56" i="106"/>
  <c r="C56" i="106"/>
  <c r="I56" i="106"/>
  <c r="G14" i="285"/>
  <c r="M14" i="285"/>
  <c r="N18" i="285"/>
  <c r="J56" i="106"/>
  <c r="N14" i="285"/>
  <c r="V56" i="106"/>
  <c r="Y56" i="106"/>
  <c r="B4" i="294"/>
  <c r="F1" i="288"/>
  <c r="B18" i="293"/>
  <c r="J19" i="293" s="1"/>
  <c r="L38" i="302" s="1"/>
  <c r="B5" i="293"/>
  <c r="L1" i="288"/>
  <c r="M18" i="288"/>
  <c r="O1" i="288"/>
  <c r="G14" i="294"/>
  <c r="H1" i="294"/>
  <c r="P18" i="288"/>
  <c r="C18" i="288"/>
  <c r="D18" i="288"/>
  <c r="C1" i="293"/>
  <c r="C14" i="293" s="1"/>
  <c r="B14" i="293" s="1"/>
  <c r="D1" i="288"/>
  <c r="D14" i="288" s="1"/>
  <c r="M14" i="288"/>
  <c r="B7" i="293"/>
  <c r="N14" i="288"/>
  <c r="I1" i="288"/>
  <c r="N18" i="288"/>
  <c r="B18" i="287"/>
  <c r="H19" i="287" s="1"/>
  <c r="J23" i="302" s="1"/>
  <c r="M14" i="286"/>
  <c r="D18" i="291"/>
  <c r="C18" i="291"/>
  <c r="M18" i="290"/>
  <c r="P18" i="290"/>
  <c r="H18" i="290"/>
  <c r="G18" i="290"/>
  <c r="P18" i="286"/>
  <c r="M18" i="286"/>
  <c r="P18" i="295"/>
  <c r="M18" i="295"/>
  <c r="D18" i="290"/>
  <c r="C18" i="290"/>
  <c r="M14" i="295"/>
  <c r="P18" i="285"/>
  <c r="M18" i="285"/>
  <c r="D18" i="286"/>
  <c r="C18" i="286"/>
  <c r="G14" i="289"/>
  <c r="O18" i="295"/>
  <c r="M14" i="290"/>
  <c r="O18" i="286"/>
  <c r="K4" i="286"/>
  <c r="K18" i="286" s="1"/>
  <c r="O18" i="290"/>
  <c r="H18" i="285"/>
  <c r="G18" i="285"/>
  <c r="H18" i="288"/>
  <c r="G18" i="288"/>
  <c r="C1" i="290"/>
  <c r="C14" i="290" s="1"/>
  <c r="H18" i="291"/>
  <c r="D18" i="295"/>
  <c r="C18" i="295"/>
  <c r="H18" i="289"/>
  <c r="C1" i="294"/>
  <c r="C14" i="294" s="1"/>
  <c r="K1" i="285"/>
  <c r="K14" i="285" s="1"/>
  <c r="K1" i="286"/>
  <c r="K14" i="286" s="1"/>
  <c r="K1" i="295"/>
  <c r="K14" i="295" s="1"/>
  <c r="K1" i="290"/>
  <c r="K14" i="290" s="1"/>
  <c r="D1" i="291"/>
  <c r="J1" i="295"/>
  <c r="J14" i="295" s="1"/>
  <c r="J1" i="290"/>
  <c r="J14" i="290" s="1"/>
  <c r="F1" i="290"/>
  <c r="C1" i="289"/>
  <c r="C14" i="289" s="1"/>
  <c r="B4" i="291"/>
  <c r="J1" i="286"/>
  <c r="J14" i="286" s="1"/>
  <c r="F1" i="286"/>
  <c r="D14" i="289"/>
  <c r="E1" i="276"/>
  <c r="E14" i="276"/>
  <c r="B4" i="289"/>
  <c r="D1" i="295"/>
  <c r="M41" i="44"/>
  <c r="I1" i="290"/>
  <c r="G1" i="290"/>
  <c r="O1" i="290"/>
  <c r="O41" i="44"/>
  <c r="G1" i="286"/>
  <c r="N1" i="286"/>
  <c r="M1" i="295"/>
  <c r="D24" i="59"/>
  <c r="D34" i="59" s="1"/>
  <c r="H4" i="286"/>
  <c r="H1" i="290"/>
  <c r="M1" i="290"/>
  <c r="L1" i="295"/>
  <c r="D1" i="290"/>
  <c r="I1" i="286"/>
  <c r="L1" i="290"/>
  <c r="N1" i="295"/>
  <c r="C1" i="287"/>
  <c r="C14" i="287" s="1"/>
  <c r="B5" i="287"/>
  <c r="G1" i="295"/>
  <c r="H4" i="295"/>
  <c r="G7" i="295" s="1"/>
  <c r="D24" i="111"/>
  <c r="D34" i="111" s="1"/>
  <c r="I1" i="295"/>
  <c r="L1" i="286"/>
  <c r="H1" i="291"/>
  <c r="F1" i="295"/>
  <c r="O1" i="286"/>
  <c r="D14" i="287"/>
  <c r="B7" i="287"/>
  <c r="L41" i="44"/>
  <c r="D1" i="286"/>
  <c r="N1" i="290"/>
  <c r="O1" i="295"/>
  <c r="H1" i="289"/>
  <c r="B4" i="288"/>
  <c r="H1" i="288"/>
  <c r="M1" i="286"/>
  <c r="B4" i="290"/>
  <c r="D33" i="35"/>
  <c r="J34" i="35" s="1"/>
  <c r="D14" i="285"/>
  <c r="B4" i="285"/>
  <c r="H1" i="285"/>
  <c r="A22" i="44" l="1"/>
  <c r="A20" i="44"/>
  <c r="B14" i="44"/>
  <c r="G6" i="35"/>
  <c r="E37" i="35" s="1"/>
  <c r="E55" i="35" s="1"/>
  <c r="G5" i="295"/>
  <c r="G14" i="295" s="1"/>
  <c r="G5" i="286"/>
  <c r="G14" i="286" s="1"/>
  <c r="G7" i="286"/>
  <c r="G18" i="286" s="1"/>
  <c r="G6" i="50"/>
  <c r="R37" i="50" s="1"/>
  <c r="R55" i="50" s="1"/>
  <c r="G6" i="49"/>
  <c r="X37" i="49" s="1"/>
  <c r="X55" i="49" s="1"/>
  <c r="C19" i="293"/>
  <c r="E38" i="302" s="1"/>
  <c r="Z19" i="293"/>
  <c r="AB38" i="302" s="1"/>
  <c r="G19" i="293"/>
  <c r="G20" i="293" s="1"/>
  <c r="K19" i="293"/>
  <c r="M38" i="302" s="1"/>
  <c r="M19" i="293"/>
  <c r="O38" i="302" s="1"/>
  <c r="N19" i="293"/>
  <c r="P38" i="302" s="1"/>
  <c r="L19" i="293"/>
  <c r="N38" i="302" s="1"/>
  <c r="U19" i="293"/>
  <c r="W38" i="302" s="1"/>
  <c r="X19" i="293"/>
  <c r="Z38" i="302" s="1"/>
  <c r="E19" i="293"/>
  <c r="G38" i="302" s="1"/>
  <c r="S19" i="293"/>
  <c r="U38" i="302" s="1"/>
  <c r="D19" i="293"/>
  <c r="F38" i="302" s="1"/>
  <c r="P19" i="293"/>
  <c r="P20" i="293" s="1"/>
  <c r="O19" i="293"/>
  <c r="Q38" i="302" s="1"/>
  <c r="F19" i="293"/>
  <c r="H38" i="302" s="1"/>
  <c r="T19" i="293"/>
  <c r="V38" i="302" s="1"/>
  <c r="Y19" i="293"/>
  <c r="AA38" i="302" s="1"/>
  <c r="B7" i="294"/>
  <c r="H19" i="293"/>
  <c r="J38" i="302" s="1"/>
  <c r="W19" i="293"/>
  <c r="Y38" i="302" s="1"/>
  <c r="B14" i="294"/>
  <c r="Q19" i="293"/>
  <c r="S38" i="302" s="1"/>
  <c r="I19" i="293"/>
  <c r="K38" i="302" s="1"/>
  <c r="R19" i="293"/>
  <c r="T38" i="302" s="1"/>
  <c r="V19" i="293"/>
  <c r="X38" i="302" s="1"/>
  <c r="B19" i="293"/>
  <c r="D38" i="302" s="1"/>
  <c r="B5" i="294"/>
  <c r="U19" i="287"/>
  <c r="W23" i="302" s="1"/>
  <c r="T19" i="287"/>
  <c r="V23" i="302" s="1"/>
  <c r="Z19" i="287"/>
  <c r="AB23" i="302" s="1"/>
  <c r="E19" i="287"/>
  <c r="G23" i="302" s="1"/>
  <c r="O19" i="287"/>
  <c r="Q23" i="302" s="1"/>
  <c r="C19" i="287"/>
  <c r="E23" i="302" s="1"/>
  <c r="V19" i="287"/>
  <c r="X23" i="302" s="1"/>
  <c r="N19" i="287"/>
  <c r="P23" i="302" s="1"/>
  <c r="J19" i="287"/>
  <c r="L23" i="302" s="1"/>
  <c r="W19" i="287"/>
  <c r="Y23" i="302" s="1"/>
  <c r="K19" i="287"/>
  <c r="M23" i="302" s="1"/>
  <c r="I19" i="287"/>
  <c r="F19" i="287"/>
  <c r="H23" i="302" s="1"/>
  <c r="B19" i="287"/>
  <c r="D23" i="302" s="1"/>
  <c r="M19" i="287"/>
  <c r="Q19" i="287"/>
  <c r="S23" i="302" s="1"/>
  <c r="L19" i="287"/>
  <c r="N23" i="302" s="1"/>
  <c r="G19" i="287"/>
  <c r="Y19" i="287"/>
  <c r="AA23" i="302" s="1"/>
  <c r="B18" i="291"/>
  <c r="K19" i="291" s="1"/>
  <c r="M35" i="302" s="1"/>
  <c r="X19" i="287"/>
  <c r="Z23" i="302" s="1"/>
  <c r="S19" i="287"/>
  <c r="R19" i="287"/>
  <c r="P19" i="287"/>
  <c r="B5" i="288"/>
  <c r="D19" i="287"/>
  <c r="F23" i="302" s="1"/>
  <c r="B18" i="285"/>
  <c r="X19" i="285" s="1"/>
  <c r="Z17" i="302" s="1"/>
  <c r="B18" i="290"/>
  <c r="P19" i="290" s="1"/>
  <c r="R32" i="302" s="1"/>
  <c r="H18" i="295"/>
  <c r="G18" i="295"/>
  <c r="B18" i="288"/>
  <c r="Z19" i="294"/>
  <c r="B19" i="294"/>
  <c r="D41" i="302" s="1"/>
  <c r="J19" i="294"/>
  <c r="L41" i="302" s="1"/>
  <c r="P19" i="294"/>
  <c r="F19" i="294"/>
  <c r="E19" i="294"/>
  <c r="V19" i="294"/>
  <c r="L19" i="294"/>
  <c r="N19" i="294"/>
  <c r="D19" i="294"/>
  <c r="F41" i="302" s="1"/>
  <c r="X19" i="294"/>
  <c r="R19" i="294"/>
  <c r="M19" i="294"/>
  <c r="U19" i="294"/>
  <c r="K19" i="294"/>
  <c r="M41" i="302" s="1"/>
  <c r="W19" i="294"/>
  <c r="Q19" i="294"/>
  <c r="Y19" i="294"/>
  <c r="S19" i="294"/>
  <c r="C19" i="294"/>
  <c r="T19" i="294"/>
  <c r="G19" i="294"/>
  <c r="I19" i="294"/>
  <c r="O19" i="294"/>
  <c r="H19" i="294"/>
  <c r="B18" i="289"/>
  <c r="H18" i="286"/>
  <c r="D34" i="35"/>
  <c r="D14" i="291"/>
  <c r="C1" i="288"/>
  <c r="C14" i="288" s="1"/>
  <c r="B14" i="288" s="1"/>
  <c r="B5" i="289"/>
  <c r="B7" i="291"/>
  <c r="B5" i="290"/>
  <c r="B14" i="289"/>
  <c r="D14" i="290"/>
  <c r="B14" i="290" s="1"/>
  <c r="B4" i="295"/>
  <c r="D14" i="295"/>
  <c r="B7" i="290"/>
  <c r="B4" i="286"/>
  <c r="H1" i="286"/>
  <c r="H1" i="295"/>
  <c r="H20" i="287"/>
  <c r="C1" i="291"/>
  <c r="C14" i="291" s="1"/>
  <c r="B5" i="291"/>
  <c r="B14" i="287"/>
  <c r="B7" i="288"/>
  <c r="C41" i="44"/>
  <c r="B7" i="289"/>
  <c r="D14" i="286"/>
  <c r="B7" i="285"/>
  <c r="B5" i="285"/>
  <c r="C1" i="285"/>
  <c r="C14" i="285" s="1"/>
  <c r="B14" i="285" s="1"/>
  <c r="F37" i="50" l="1"/>
  <c r="F55" i="50" s="1"/>
  <c r="T37" i="50"/>
  <c r="T55" i="50" s="1"/>
  <c r="I37" i="50"/>
  <c r="I55" i="50" s="1"/>
  <c r="L20" i="52"/>
  <c r="O20" i="52"/>
  <c r="W20" i="52"/>
  <c r="I38" i="302"/>
  <c r="J37" i="50"/>
  <c r="J55" i="50" s="1"/>
  <c r="W37" i="50"/>
  <c r="W55" i="50" s="1"/>
  <c r="P20" i="52"/>
  <c r="N20" i="52"/>
  <c r="V37" i="35"/>
  <c r="V55" i="35" s="1"/>
  <c r="E20" i="51"/>
  <c r="P20" i="15"/>
  <c r="N37" i="49"/>
  <c r="N55" i="49" s="1"/>
  <c r="G20" i="15"/>
  <c r="U20" i="51"/>
  <c r="V20" i="15"/>
  <c r="Q37" i="35"/>
  <c r="Q55" i="35" s="1"/>
  <c r="Q20" i="15"/>
  <c r="R20" i="15"/>
  <c r="U20" i="15"/>
  <c r="K37" i="35"/>
  <c r="K55" i="35" s="1"/>
  <c r="S20" i="52"/>
  <c r="R37" i="49"/>
  <c r="R55" i="49" s="1"/>
  <c r="K37" i="49"/>
  <c r="K55" i="49" s="1"/>
  <c r="Z37" i="50"/>
  <c r="Z55" i="50" s="1"/>
  <c r="M37" i="49"/>
  <c r="M55" i="49" s="1"/>
  <c r="X37" i="50"/>
  <c r="X55" i="50" s="1"/>
  <c r="V20" i="51"/>
  <c r="V37" i="50"/>
  <c r="V55" i="50" s="1"/>
  <c r="I20" i="51"/>
  <c r="W37" i="49"/>
  <c r="W55" i="49" s="1"/>
  <c r="P37" i="35"/>
  <c r="P55" i="35" s="1"/>
  <c r="H37" i="50"/>
  <c r="H55" i="50" s="1"/>
  <c r="W37" i="35"/>
  <c r="W55" i="35" s="1"/>
  <c r="F20" i="52"/>
  <c r="J37" i="35"/>
  <c r="J55" i="35" s="1"/>
  <c r="V20" i="52"/>
  <c r="Q20" i="51"/>
  <c r="Z37" i="49"/>
  <c r="Z55" i="49" s="1"/>
  <c r="E20" i="15"/>
  <c r="E39" i="15" s="1"/>
  <c r="B39" i="15" s="1"/>
  <c r="E40" i="15" s="1"/>
  <c r="T20" i="52"/>
  <c r="G37" i="49"/>
  <c r="G55" i="49" s="1"/>
  <c r="M20" i="15"/>
  <c r="Y37" i="50"/>
  <c r="Y55" i="50" s="1"/>
  <c r="T20" i="51"/>
  <c r="T37" i="35"/>
  <c r="T55" i="35" s="1"/>
  <c r="R20" i="52"/>
  <c r="D37" i="49"/>
  <c r="D55" i="49" s="1"/>
  <c r="W20" i="51"/>
  <c r="H20" i="15"/>
  <c r="N20" i="51"/>
  <c r="Y37" i="49"/>
  <c r="Y55" i="49" s="1"/>
  <c r="F20" i="15"/>
  <c r="P37" i="50"/>
  <c r="P55" i="50" s="1"/>
  <c r="T37" i="49"/>
  <c r="T55" i="49" s="1"/>
  <c r="I20" i="15"/>
  <c r="F37" i="35"/>
  <c r="F55" i="35" s="1"/>
  <c r="M20" i="52"/>
  <c r="E37" i="49"/>
  <c r="E55" i="49" s="1"/>
  <c r="Y37" i="35"/>
  <c r="Y55" i="35" s="1"/>
  <c r="S37" i="35"/>
  <c r="S55" i="35" s="1"/>
  <c r="G20" i="52"/>
  <c r="I37" i="49"/>
  <c r="I55" i="49" s="1"/>
  <c r="H20" i="51"/>
  <c r="X20" i="15"/>
  <c r="O37" i="50"/>
  <c r="O55" i="50" s="1"/>
  <c r="N37" i="50"/>
  <c r="N55" i="50" s="1"/>
  <c r="X20" i="51"/>
  <c r="C37" i="49"/>
  <c r="C55" i="49" s="1"/>
  <c r="I37" i="35"/>
  <c r="I55" i="35" s="1"/>
  <c r="H20" i="52"/>
  <c r="E37" i="50"/>
  <c r="E55" i="50" s="1"/>
  <c r="M20" i="51"/>
  <c r="Z20" i="51"/>
  <c r="N37" i="35"/>
  <c r="N55" i="35" s="1"/>
  <c r="L37" i="50"/>
  <c r="L55" i="50" s="1"/>
  <c r="Q37" i="50"/>
  <c r="Q55" i="50" s="1"/>
  <c r="Y20" i="51"/>
  <c r="L20" i="51"/>
  <c r="Z20" i="15"/>
  <c r="D37" i="35"/>
  <c r="D55" i="35" s="1"/>
  <c r="M37" i="50"/>
  <c r="M55" i="50" s="1"/>
  <c r="S20" i="51"/>
  <c r="R20" i="51"/>
  <c r="R37" i="35"/>
  <c r="R55" i="35" s="1"/>
  <c r="G37" i="35"/>
  <c r="G55" i="35" s="1"/>
  <c r="Q20" i="52"/>
  <c r="D37" i="50"/>
  <c r="D55" i="50" s="1"/>
  <c r="F37" i="49"/>
  <c r="F55" i="49" s="1"/>
  <c r="O37" i="49"/>
  <c r="O55" i="49" s="1"/>
  <c r="O37" i="35"/>
  <c r="O55" i="35" s="1"/>
  <c r="L20" i="15"/>
  <c r="C37" i="50"/>
  <c r="C55" i="50" s="1"/>
  <c r="I20" i="52"/>
  <c r="V37" i="49"/>
  <c r="V55" i="49" s="1"/>
  <c r="J37" i="49"/>
  <c r="J55" i="49" s="1"/>
  <c r="H37" i="49"/>
  <c r="H55" i="49" s="1"/>
  <c r="S37" i="49"/>
  <c r="S55" i="49" s="1"/>
  <c r="N20" i="15"/>
  <c r="S20" i="15"/>
  <c r="K37" i="50"/>
  <c r="K55" i="50" s="1"/>
  <c r="S37" i="50"/>
  <c r="S55" i="50" s="1"/>
  <c r="P20" i="51"/>
  <c r="Q37" i="49"/>
  <c r="Q55" i="49" s="1"/>
  <c r="O20" i="15"/>
  <c r="W20" i="15"/>
  <c r="U20" i="52"/>
  <c r="U37" i="50"/>
  <c r="U55" i="50" s="1"/>
  <c r="P37" i="49"/>
  <c r="P55" i="49" s="1"/>
  <c r="F20" i="51"/>
  <c r="U37" i="49"/>
  <c r="U55" i="49" s="1"/>
  <c r="C37" i="35"/>
  <c r="C55" i="35" s="1"/>
  <c r="L37" i="35"/>
  <c r="L55" i="35" s="1"/>
  <c r="M37" i="35"/>
  <c r="M55" i="35" s="1"/>
  <c r="X20" i="52"/>
  <c r="G37" i="50"/>
  <c r="G55" i="50" s="1"/>
  <c r="G20" i="51"/>
  <c r="O20" i="51"/>
  <c r="L37" i="49"/>
  <c r="L55" i="49" s="1"/>
  <c r="Z37" i="35"/>
  <c r="Z55" i="35" s="1"/>
  <c r="X37" i="35"/>
  <c r="X55" i="35" s="1"/>
  <c r="H37" i="35"/>
  <c r="H55" i="35" s="1"/>
  <c r="Y20" i="52"/>
  <c r="E20" i="52"/>
  <c r="T20" i="15"/>
  <c r="Z20" i="52"/>
  <c r="M20" i="293"/>
  <c r="U37" i="35"/>
  <c r="U55" i="35" s="1"/>
  <c r="Y20" i="15"/>
  <c r="Z20" i="293"/>
  <c r="S20" i="293"/>
  <c r="X20" i="293"/>
  <c r="R38" i="302"/>
  <c r="L20" i="293"/>
  <c r="U20" i="293"/>
  <c r="N20" i="293"/>
  <c r="F20" i="293"/>
  <c r="T20" i="293"/>
  <c r="E20" i="293"/>
  <c r="H20" i="293"/>
  <c r="O20" i="293"/>
  <c r="W20" i="293"/>
  <c r="Y20" i="293"/>
  <c r="V20" i="293"/>
  <c r="R20" i="293"/>
  <c r="Q20" i="293"/>
  <c r="I20" i="293"/>
  <c r="T20" i="287"/>
  <c r="U20" i="287"/>
  <c r="E20" i="287"/>
  <c r="Z20" i="287"/>
  <c r="W20" i="287"/>
  <c r="U19" i="291"/>
  <c r="W35" i="302" s="1"/>
  <c r="E41" i="302"/>
  <c r="B19" i="291"/>
  <c r="D35" i="302" s="1"/>
  <c r="C19" i="291"/>
  <c r="E35" i="302" s="1"/>
  <c r="G19" i="291"/>
  <c r="I35" i="302" s="1"/>
  <c r="D19" i="290"/>
  <c r="F32" i="302" s="1"/>
  <c r="F20" i="287"/>
  <c r="Y20" i="287"/>
  <c r="L20" i="287"/>
  <c r="X20" i="287"/>
  <c r="V20" i="287"/>
  <c r="O20" i="287"/>
  <c r="N20" i="287"/>
  <c r="H20" i="294"/>
  <c r="J41" i="302"/>
  <c r="M20" i="294"/>
  <c r="O41" i="302"/>
  <c r="G20" i="287"/>
  <c r="I23" i="302"/>
  <c r="I20" i="287"/>
  <c r="K23" i="302"/>
  <c r="O20" i="294"/>
  <c r="Q41" i="302"/>
  <c r="W20" i="294"/>
  <c r="Y41" i="302"/>
  <c r="R20" i="294"/>
  <c r="T41" i="302"/>
  <c r="L20" i="294"/>
  <c r="N41" i="302"/>
  <c r="P20" i="294"/>
  <c r="R41" i="302"/>
  <c r="M20" i="287"/>
  <c r="O23" i="302"/>
  <c r="Q20" i="294"/>
  <c r="S41" i="302"/>
  <c r="F20" i="294"/>
  <c r="H41" i="302"/>
  <c r="I20" i="294"/>
  <c r="K41" i="302"/>
  <c r="S20" i="294"/>
  <c r="U41" i="302"/>
  <c r="X20" i="294"/>
  <c r="Z41" i="302"/>
  <c r="V20" i="294"/>
  <c r="X41" i="302"/>
  <c r="P20" i="287"/>
  <c r="R23" i="302"/>
  <c r="T20" i="294"/>
  <c r="V41" i="302"/>
  <c r="N20" i="294"/>
  <c r="P41" i="302"/>
  <c r="Z20" i="294"/>
  <c r="AB41" i="302"/>
  <c r="S20" i="287"/>
  <c r="U23" i="302"/>
  <c r="Q20" i="287"/>
  <c r="G20" i="294"/>
  <c r="I41" i="302"/>
  <c r="Y20" i="294"/>
  <c r="AA41" i="302"/>
  <c r="U20" i="294"/>
  <c r="W41" i="302"/>
  <c r="E20" i="294"/>
  <c r="G41" i="302"/>
  <c r="R20" i="287"/>
  <c r="T23" i="302"/>
  <c r="F19" i="291"/>
  <c r="H35" i="302" s="1"/>
  <c r="M19" i="291"/>
  <c r="O35" i="302" s="1"/>
  <c r="N19" i="291"/>
  <c r="P35" i="302" s="1"/>
  <c r="O19" i="291"/>
  <c r="Q35" i="302" s="1"/>
  <c r="L19" i="291"/>
  <c r="N35" i="302" s="1"/>
  <c r="R19" i="291"/>
  <c r="T35" i="302" s="1"/>
  <c r="B7" i="295"/>
  <c r="W19" i="291"/>
  <c r="Y35" i="302" s="1"/>
  <c r="Q19" i="291"/>
  <c r="S35" i="302" s="1"/>
  <c r="D19" i="291"/>
  <c r="F35" i="302" s="1"/>
  <c r="X19" i="291"/>
  <c r="Z35" i="302" s="1"/>
  <c r="S19" i="291"/>
  <c r="Y19" i="291"/>
  <c r="E19" i="291"/>
  <c r="Z19" i="291"/>
  <c r="J19" i="291"/>
  <c r="L35" i="302" s="1"/>
  <c r="P19" i="291"/>
  <c r="R35" i="302" s="1"/>
  <c r="I19" i="291"/>
  <c r="K35" i="302" s="1"/>
  <c r="H19" i="291"/>
  <c r="J35" i="302" s="1"/>
  <c r="E19" i="285"/>
  <c r="G17" i="302" s="1"/>
  <c r="N19" i="285"/>
  <c r="P17" i="302" s="1"/>
  <c r="C19" i="285"/>
  <c r="E17" i="302" s="1"/>
  <c r="W19" i="285"/>
  <c r="Y17" i="302" s="1"/>
  <c r="K19" i="285"/>
  <c r="M17" i="302" s="1"/>
  <c r="T19" i="291"/>
  <c r="V19" i="291"/>
  <c r="X35" i="302" s="1"/>
  <c r="P19" i="285"/>
  <c r="R17" i="302" s="1"/>
  <c r="R19" i="285"/>
  <c r="T17" i="302" s="1"/>
  <c r="T19" i="285"/>
  <c r="V17" i="302" s="1"/>
  <c r="I19" i="285"/>
  <c r="K17" i="302" s="1"/>
  <c r="H19" i="285"/>
  <c r="J17" i="302" s="1"/>
  <c r="O19" i="285"/>
  <c r="Q17" i="302" s="1"/>
  <c r="D19" i="285"/>
  <c r="F17" i="302" s="1"/>
  <c r="L19" i="285"/>
  <c r="N17" i="302" s="1"/>
  <c r="Q19" i="285"/>
  <c r="S17" i="302" s="1"/>
  <c r="F19" i="285"/>
  <c r="H17" i="302" s="1"/>
  <c r="J19" i="285"/>
  <c r="L17" i="302" s="1"/>
  <c r="G19" i="285"/>
  <c r="I17" i="302" s="1"/>
  <c r="U19" i="285"/>
  <c r="W17" i="302" s="1"/>
  <c r="Z19" i="285"/>
  <c r="AB17" i="302" s="1"/>
  <c r="M19" i="285"/>
  <c r="O17" i="302" s="1"/>
  <c r="S19" i="285"/>
  <c r="U17" i="302" s="1"/>
  <c r="V19" i="285"/>
  <c r="X17" i="302" s="1"/>
  <c r="M19" i="290"/>
  <c r="O32" i="302" s="1"/>
  <c r="B19" i="285"/>
  <c r="D17" i="302" s="1"/>
  <c r="Y19" i="285"/>
  <c r="AA17" i="302" s="1"/>
  <c r="B18" i="295"/>
  <c r="Z19" i="290"/>
  <c r="AB32" i="302" s="1"/>
  <c r="B19" i="290"/>
  <c r="D32" i="302" s="1"/>
  <c r="L19" i="290"/>
  <c r="N32" i="302" s="1"/>
  <c r="Q19" i="290"/>
  <c r="S32" i="302" s="1"/>
  <c r="V19" i="290"/>
  <c r="X32" i="302" s="1"/>
  <c r="Y19" i="290"/>
  <c r="AA32" i="302" s="1"/>
  <c r="X19" i="290"/>
  <c r="Z32" i="302" s="1"/>
  <c r="W19" i="290"/>
  <c r="Y32" i="302" s="1"/>
  <c r="J19" i="290"/>
  <c r="L32" i="302" s="1"/>
  <c r="U19" i="290"/>
  <c r="W32" i="302" s="1"/>
  <c r="R19" i="290"/>
  <c r="T32" i="302" s="1"/>
  <c r="F19" i="290"/>
  <c r="H32" i="302" s="1"/>
  <c r="I19" i="290"/>
  <c r="K32" i="302" s="1"/>
  <c r="T19" i="290"/>
  <c r="V32" i="302" s="1"/>
  <c r="E19" i="290"/>
  <c r="G32" i="302" s="1"/>
  <c r="K19" i="290"/>
  <c r="M32" i="302" s="1"/>
  <c r="S19" i="290"/>
  <c r="U32" i="302" s="1"/>
  <c r="H19" i="290"/>
  <c r="J32" i="302" s="1"/>
  <c r="C19" i="290"/>
  <c r="E32" i="302" s="1"/>
  <c r="P19" i="288"/>
  <c r="R26" i="302" s="1"/>
  <c r="K19" i="288"/>
  <c r="M26" i="302" s="1"/>
  <c r="Z19" i="288"/>
  <c r="AB26" i="302" s="1"/>
  <c r="I19" i="288"/>
  <c r="K26" i="302" s="1"/>
  <c r="R19" i="288"/>
  <c r="T26" i="302" s="1"/>
  <c r="B19" i="288"/>
  <c r="D26" i="302" s="1"/>
  <c r="F19" i="288"/>
  <c r="H26" i="302" s="1"/>
  <c r="Y19" i="288"/>
  <c r="AA26" i="302" s="1"/>
  <c r="Q19" i="288"/>
  <c r="S26" i="302" s="1"/>
  <c r="W19" i="288"/>
  <c r="Y26" i="302" s="1"/>
  <c r="G19" i="288"/>
  <c r="I26" i="302" s="1"/>
  <c r="U19" i="288"/>
  <c r="W26" i="302" s="1"/>
  <c r="M19" i="288"/>
  <c r="O26" i="302" s="1"/>
  <c r="V19" i="288"/>
  <c r="X26" i="302" s="1"/>
  <c r="C19" i="288"/>
  <c r="E26" i="302" s="1"/>
  <c r="O19" i="288"/>
  <c r="Q26" i="302" s="1"/>
  <c r="S19" i="288"/>
  <c r="U26" i="302" s="1"/>
  <c r="T19" i="288"/>
  <c r="V26" i="302" s="1"/>
  <c r="E19" i="288"/>
  <c r="G26" i="302" s="1"/>
  <c r="L19" i="288"/>
  <c r="N26" i="302" s="1"/>
  <c r="D19" i="288"/>
  <c r="F26" i="302" s="1"/>
  <c r="N19" i="288"/>
  <c r="P26" i="302" s="1"/>
  <c r="X19" i="288"/>
  <c r="Z26" i="302" s="1"/>
  <c r="H19" i="288"/>
  <c r="J26" i="302" s="1"/>
  <c r="J19" i="288"/>
  <c r="L26" i="302" s="1"/>
  <c r="G19" i="290"/>
  <c r="I32" i="302" s="1"/>
  <c r="N19" i="290"/>
  <c r="P32" i="302" s="1"/>
  <c r="O19" i="290"/>
  <c r="Q32" i="302" s="1"/>
  <c r="B14" i="291"/>
  <c r="Z19" i="289"/>
  <c r="B19" i="289"/>
  <c r="D29" i="302" s="1"/>
  <c r="E19" i="289"/>
  <c r="N19" i="289"/>
  <c r="V19" i="289"/>
  <c r="L19" i="289"/>
  <c r="D19" i="289"/>
  <c r="F29" i="302" s="1"/>
  <c r="F19" i="289"/>
  <c r="C19" i="289"/>
  <c r="E29" i="302" s="1"/>
  <c r="G19" i="289"/>
  <c r="P19" i="289"/>
  <c r="Y19" i="289"/>
  <c r="T19" i="289"/>
  <c r="O19" i="289"/>
  <c r="R19" i="289"/>
  <c r="X19" i="289"/>
  <c r="Q19" i="289"/>
  <c r="I19" i="289"/>
  <c r="U19" i="289"/>
  <c r="S19" i="289"/>
  <c r="J19" i="289"/>
  <c r="L29" i="302" s="1"/>
  <c r="W19" i="289"/>
  <c r="M19" i="289"/>
  <c r="K19" i="289"/>
  <c r="M29" i="302" s="1"/>
  <c r="H19" i="289"/>
  <c r="B18" i="286"/>
  <c r="B7" i="286"/>
  <c r="B5" i="286"/>
  <c r="C1" i="286"/>
  <c r="C14" i="286" s="1"/>
  <c r="B14" i="286" s="1"/>
  <c r="B5" i="295"/>
  <c r="C1" i="295"/>
  <c r="C14" i="295" s="1"/>
  <c r="B14" i="295" s="1"/>
  <c r="B37" i="35" l="1"/>
  <c r="B37" i="50"/>
  <c r="B55" i="50"/>
  <c r="Y56" i="50" s="1"/>
  <c r="Y4" i="278" s="1"/>
  <c r="Y18" i="278" s="1"/>
  <c r="B37" i="49"/>
  <c r="U20" i="291"/>
  <c r="B55" i="49"/>
  <c r="C56" i="49" s="1"/>
  <c r="C4" i="276" s="1"/>
  <c r="C5" i="276" s="1"/>
  <c r="B55" i="35"/>
  <c r="C56" i="35" s="1"/>
  <c r="C4" i="275" s="1"/>
  <c r="C5" i="275" s="1"/>
  <c r="F40" i="15"/>
  <c r="C40" i="15"/>
  <c r="T40" i="15"/>
  <c r="K40" i="15"/>
  <c r="Q40" i="15"/>
  <c r="G40" i="15"/>
  <c r="Y40" i="15"/>
  <c r="L40" i="15"/>
  <c r="J40" i="15"/>
  <c r="C45" i="15" s="1"/>
  <c r="R40" i="15"/>
  <c r="V40" i="15"/>
  <c r="S40" i="15"/>
  <c r="M40" i="15"/>
  <c r="W40" i="15"/>
  <c r="B40" i="15"/>
  <c r="P40" i="15"/>
  <c r="Q42" i="15" s="1"/>
  <c r="I40" i="15"/>
  <c r="D40" i="15"/>
  <c r="C46" i="15" s="1"/>
  <c r="Z40" i="15"/>
  <c r="N40" i="15"/>
  <c r="H40" i="15"/>
  <c r="X40" i="15"/>
  <c r="O40" i="15"/>
  <c r="U40" i="15"/>
  <c r="I20" i="291"/>
  <c r="G20" i="291"/>
  <c r="Q20" i="291"/>
  <c r="R20" i="291"/>
  <c r="M20" i="291"/>
  <c r="V20" i="291"/>
  <c r="F20" i="291"/>
  <c r="O20" i="291"/>
  <c r="L20" i="291"/>
  <c r="W20" i="291"/>
  <c r="P20" i="291"/>
  <c r="R20" i="289"/>
  <c r="T29" i="302"/>
  <c r="E20" i="289"/>
  <c r="G29" i="302"/>
  <c r="W20" i="289"/>
  <c r="Y29" i="302"/>
  <c r="I20" i="289"/>
  <c r="K29" i="302"/>
  <c r="O20" i="289"/>
  <c r="Q29" i="302"/>
  <c r="G20" i="289"/>
  <c r="I29" i="302"/>
  <c r="L20" i="289"/>
  <c r="N29" i="302"/>
  <c r="E20" i="291"/>
  <c r="G35" i="302"/>
  <c r="U20" i="289"/>
  <c r="W29" i="302"/>
  <c r="X20" i="291"/>
  <c r="H20" i="291"/>
  <c r="H20" i="289"/>
  <c r="J29" i="302"/>
  <c r="Q20" i="289"/>
  <c r="S29" i="302"/>
  <c r="T20" i="289"/>
  <c r="V29" i="302"/>
  <c r="V20" i="289"/>
  <c r="X29" i="302"/>
  <c r="Z20" i="289"/>
  <c r="AB29" i="302"/>
  <c r="T20" i="291"/>
  <c r="V35" i="302"/>
  <c r="Y20" i="291"/>
  <c r="AA35" i="302"/>
  <c r="M20" i="289"/>
  <c r="O29" i="302"/>
  <c r="P20" i="289"/>
  <c r="R29" i="302"/>
  <c r="Z20" i="291"/>
  <c r="AB35" i="302"/>
  <c r="N20" i="291"/>
  <c r="S20" i="289"/>
  <c r="U29" i="302"/>
  <c r="X20" i="289"/>
  <c r="Z29" i="302"/>
  <c r="Y20" i="289"/>
  <c r="AA29" i="302"/>
  <c r="F20" i="289"/>
  <c r="H29" i="302"/>
  <c r="N20" i="289"/>
  <c r="P29" i="302"/>
  <c r="S20" i="291"/>
  <c r="U35" i="302"/>
  <c r="B19" i="295"/>
  <c r="D44" i="302" s="1"/>
  <c r="X19" i="295"/>
  <c r="Z44" i="302" s="1"/>
  <c r="C19" i="295"/>
  <c r="F19" i="295"/>
  <c r="H44" i="302" s="1"/>
  <c r="O19" i="295"/>
  <c r="Q44" i="302" s="1"/>
  <c r="L19" i="295"/>
  <c r="E19" i="295"/>
  <c r="D19" i="295"/>
  <c r="F44" i="302" s="1"/>
  <c r="U19" i="295"/>
  <c r="Z19" i="295"/>
  <c r="V19" i="295"/>
  <c r="Q19" i="295"/>
  <c r="H19" i="295"/>
  <c r="T19" i="295"/>
  <c r="W19" i="295"/>
  <c r="N19" i="295"/>
  <c r="P19" i="295"/>
  <c r="I19" i="295"/>
  <c r="K44" i="302" s="1"/>
  <c r="G19" i="295"/>
  <c r="I44" i="302" s="1"/>
  <c r="M19" i="295"/>
  <c r="O44" i="302" s="1"/>
  <c r="K19" i="295"/>
  <c r="M44" i="302" s="1"/>
  <c r="S19" i="295"/>
  <c r="R19" i="295"/>
  <c r="Y19" i="295"/>
  <c r="J19" i="295"/>
  <c r="L44" i="302" s="1"/>
  <c r="Z19" i="286"/>
  <c r="B19" i="286"/>
  <c r="D20" i="302" s="1"/>
  <c r="C19" i="286"/>
  <c r="F19" i="286"/>
  <c r="G19" i="286"/>
  <c r="W19" i="286"/>
  <c r="V19" i="286"/>
  <c r="E19" i="286"/>
  <c r="M19" i="286"/>
  <c r="N19" i="286"/>
  <c r="P19" i="286"/>
  <c r="I19" i="286"/>
  <c r="Q19" i="286"/>
  <c r="J19" i="286"/>
  <c r="L20" i="302" s="1"/>
  <c r="O19" i="286"/>
  <c r="T19" i="286"/>
  <c r="L19" i="286"/>
  <c r="R19" i="286"/>
  <c r="Y19" i="286"/>
  <c r="X19" i="286"/>
  <c r="S19" i="286"/>
  <c r="D19" i="286"/>
  <c r="U19" i="286"/>
  <c r="K19" i="286"/>
  <c r="M20" i="302" s="1"/>
  <c r="H19" i="286"/>
  <c r="H20" i="290"/>
  <c r="Q20" i="290"/>
  <c r="F20" i="290"/>
  <c r="E20" i="290"/>
  <c r="T20" i="290"/>
  <c r="V20" i="290"/>
  <c r="X20" i="290"/>
  <c r="W20" i="290"/>
  <c r="Z20" i="290"/>
  <c r="S20" i="290"/>
  <c r="Y20" i="290"/>
  <c r="U20" i="290"/>
  <c r="G20" i="290"/>
  <c r="I20" i="290"/>
  <c r="L20" i="290"/>
  <c r="M20" i="290"/>
  <c r="O20" i="290"/>
  <c r="R20" i="290"/>
  <c r="N20" i="290"/>
  <c r="F20" i="288"/>
  <c r="X20" i="288"/>
  <c r="R20" i="288"/>
  <c r="U20" i="288"/>
  <c r="W20" i="288"/>
  <c r="Y20" i="288"/>
  <c r="P20" i="288"/>
  <c r="E20" i="288"/>
  <c r="L20" i="288"/>
  <c r="T20" i="288"/>
  <c r="N20" i="288"/>
  <c r="S20" i="288"/>
  <c r="V20" i="288"/>
  <c r="Z20" i="288"/>
  <c r="Q20" i="288"/>
  <c r="G20" i="288"/>
  <c r="I20" i="288"/>
  <c r="O20" i="288"/>
  <c r="M20" i="288"/>
  <c r="H20" i="288"/>
  <c r="J56" i="50" l="1"/>
  <c r="J4" i="278" s="1"/>
  <c r="J18" i="278" s="1"/>
  <c r="Z56" i="50"/>
  <c r="Z4" i="278" s="1"/>
  <c r="Z18" i="278" s="1"/>
  <c r="X56" i="50"/>
  <c r="X4" i="278" s="1"/>
  <c r="X18" i="278" s="1"/>
  <c r="G56" i="50"/>
  <c r="G4" i="278" s="1"/>
  <c r="L56" i="50"/>
  <c r="L4" i="278" s="1"/>
  <c r="W56" i="50"/>
  <c r="W4" i="278" s="1"/>
  <c r="W18" i="278" s="1"/>
  <c r="S56" i="50"/>
  <c r="S4" i="278" s="1"/>
  <c r="S18" i="278" s="1"/>
  <c r="T56" i="50"/>
  <c r="T4" i="278" s="1"/>
  <c r="T18" i="278" s="1"/>
  <c r="K56" i="50"/>
  <c r="K4" i="278" s="1"/>
  <c r="K18" i="278" s="1"/>
  <c r="R56" i="50"/>
  <c r="R4" i="278" s="1"/>
  <c r="R18" i="278" s="1"/>
  <c r="O56" i="50"/>
  <c r="O4" i="278" s="1"/>
  <c r="B56" i="50"/>
  <c r="C56" i="50"/>
  <c r="C4" i="278" s="1"/>
  <c r="C5" i="278" s="1"/>
  <c r="E56" i="50"/>
  <c r="E4" i="278" s="1"/>
  <c r="E18" i="278" s="1"/>
  <c r="V56" i="50"/>
  <c r="V4" i="278" s="1"/>
  <c r="V18" i="278" s="1"/>
  <c r="P56" i="50"/>
  <c r="P4" i="278" s="1"/>
  <c r="P18" i="278" s="1"/>
  <c r="F56" i="50"/>
  <c r="F4" i="278" s="1"/>
  <c r="F1" i="278" s="1"/>
  <c r="Q56" i="50"/>
  <c r="Q4" i="278" s="1"/>
  <c r="Q18" i="278" s="1"/>
  <c r="U56" i="50"/>
  <c r="U4" i="278" s="1"/>
  <c r="U18" i="278" s="1"/>
  <c r="N56" i="50"/>
  <c r="N4" i="278" s="1"/>
  <c r="M56" i="50"/>
  <c r="M4" i="278" s="1"/>
  <c r="M1" i="278" s="1"/>
  <c r="I56" i="50"/>
  <c r="I4" i="278" s="1"/>
  <c r="I18" i="278" s="1"/>
  <c r="D56" i="50"/>
  <c r="D4" i="278" s="1"/>
  <c r="H56" i="50"/>
  <c r="H4" i="278" s="1"/>
  <c r="B56" i="35"/>
  <c r="J56" i="35"/>
  <c r="J4" i="275" s="1"/>
  <c r="J18" i="275" s="1"/>
  <c r="N56" i="35"/>
  <c r="N4" i="275" s="1"/>
  <c r="Z56" i="35"/>
  <c r="Z4" i="275" s="1"/>
  <c r="Z18" i="275" s="1"/>
  <c r="Q56" i="35"/>
  <c r="Q4" i="275" s="1"/>
  <c r="Q5" i="275" s="1"/>
  <c r="X56" i="35"/>
  <c r="X4" i="275" s="1"/>
  <c r="X18" i="275" s="1"/>
  <c r="H56" i="35"/>
  <c r="H4" i="275" s="1"/>
  <c r="U56" i="35"/>
  <c r="U4" i="275" s="1"/>
  <c r="U18" i="275" s="1"/>
  <c r="Y56" i="35"/>
  <c r="Y4" i="275" s="1"/>
  <c r="Y18" i="275" s="1"/>
  <c r="R56" i="35"/>
  <c r="R4" i="275" s="1"/>
  <c r="R18" i="275" s="1"/>
  <c r="V56" i="35"/>
  <c r="V4" i="275" s="1"/>
  <c r="V18" i="275" s="1"/>
  <c r="P56" i="35"/>
  <c r="P4" i="275" s="1"/>
  <c r="T56" i="35"/>
  <c r="T4" i="275" s="1"/>
  <c r="T18" i="275" s="1"/>
  <c r="D56" i="35"/>
  <c r="D4" i="275" s="1"/>
  <c r="D5" i="275" s="1"/>
  <c r="W56" i="35"/>
  <c r="W4" i="275" s="1"/>
  <c r="W18" i="275" s="1"/>
  <c r="F56" i="35"/>
  <c r="F4" i="275" s="1"/>
  <c r="F18" i="275" s="1"/>
  <c r="O56" i="35"/>
  <c r="O4" i="275" s="1"/>
  <c r="O5" i="275" s="1"/>
  <c r="E56" i="35"/>
  <c r="E4" i="275" s="1"/>
  <c r="E18" i="275" s="1"/>
  <c r="G56" i="35"/>
  <c r="G4" i="275" s="1"/>
  <c r="I56" i="35"/>
  <c r="I4" i="275" s="1"/>
  <c r="I18" i="275" s="1"/>
  <c r="K56" i="35"/>
  <c r="K4" i="275" s="1"/>
  <c r="K18" i="275" s="1"/>
  <c r="L56" i="35"/>
  <c r="L4" i="275" s="1"/>
  <c r="S56" i="35"/>
  <c r="S4" i="275" s="1"/>
  <c r="S18" i="275" s="1"/>
  <c r="M56" i="35"/>
  <c r="M4" i="275" s="1"/>
  <c r="M18" i="275" s="1"/>
  <c r="V56" i="49"/>
  <c r="V4" i="276" s="1"/>
  <c r="V18" i="276" s="1"/>
  <c r="B56" i="49"/>
  <c r="H56" i="49"/>
  <c r="H4" i="276" s="1"/>
  <c r="P56" i="49"/>
  <c r="P4" i="276" s="1"/>
  <c r="D56" i="49"/>
  <c r="D4" i="276" s="1"/>
  <c r="U56" i="49"/>
  <c r="U4" i="276" s="1"/>
  <c r="U18" i="276" s="1"/>
  <c r="Z56" i="49"/>
  <c r="Z4" i="276" s="1"/>
  <c r="Z18" i="276" s="1"/>
  <c r="K56" i="49"/>
  <c r="K4" i="276" s="1"/>
  <c r="K18" i="276" s="1"/>
  <c r="O56" i="49"/>
  <c r="O4" i="276" s="1"/>
  <c r="I56" i="49"/>
  <c r="I4" i="276" s="1"/>
  <c r="Y56" i="49"/>
  <c r="Y4" i="276" s="1"/>
  <c r="Y18" i="276" s="1"/>
  <c r="R56" i="49"/>
  <c r="R4" i="276" s="1"/>
  <c r="R18" i="276" s="1"/>
  <c r="G56" i="49"/>
  <c r="G4" i="276" s="1"/>
  <c r="F56" i="49"/>
  <c r="F4" i="276" s="1"/>
  <c r="X56" i="49"/>
  <c r="X4" i="276" s="1"/>
  <c r="X18" i="276" s="1"/>
  <c r="M56" i="49"/>
  <c r="M4" i="276" s="1"/>
  <c r="M1" i="276" s="1"/>
  <c r="T56" i="49"/>
  <c r="T4" i="276" s="1"/>
  <c r="T18" i="276" s="1"/>
  <c r="L56" i="49"/>
  <c r="L4" i="276" s="1"/>
  <c r="L5" i="276" s="1"/>
  <c r="S56" i="49"/>
  <c r="S4" i="276" s="1"/>
  <c r="S18" i="276" s="1"/>
  <c r="N56" i="49"/>
  <c r="N4" i="276" s="1"/>
  <c r="Q56" i="49"/>
  <c r="Q4" i="276" s="1"/>
  <c r="Q18" i="276" s="1"/>
  <c r="W56" i="49"/>
  <c r="W4" i="276" s="1"/>
  <c r="W18" i="276" s="1"/>
  <c r="E56" i="49"/>
  <c r="E4" i="276" s="1"/>
  <c r="E18" i="276" s="1"/>
  <c r="J56" i="49"/>
  <c r="J4" i="276" s="1"/>
  <c r="J18" i="276" s="1"/>
  <c r="L41" i="15"/>
  <c r="L42" i="15" s="1"/>
  <c r="O41" i="15"/>
  <c r="O42" i="15" s="1"/>
  <c r="I41" i="15"/>
  <c r="I42" i="15" s="1"/>
  <c r="F41" i="15"/>
  <c r="F42" i="15" s="1"/>
  <c r="P41" i="15"/>
  <c r="P42" i="15" s="1"/>
  <c r="D41" i="15"/>
  <c r="D42" i="15" s="1"/>
  <c r="E46" i="15" s="1"/>
  <c r="J41" i="15"/>
  <c r="J42" i="15" s="1"/>
  <c r="K41" i="15"/>
  <c r="K42" i="15" s="1"/>
  <c r="H41" i="15"/>
  <c r="H42" i="15" s="1"/>
  <c r="N41" i="15"/>
  <c r="N42" i="15" s="1"/>
  <c r="M41" i="15"/>
  <c r="M42" i="15" s="1"/>
  <c r="C41" i="15"/>
  <c r="C42" i="15" s="1"/>
  <c r="G41" i="15"/>
  <c r="G42" i="15" s="1"/>
  <c r="E41" i="15"/>
  <c r="E42" i="15" s="1"/>
  <c r="G1" i="278"/>
  <c r="E44" i="302"/>
  <c r="M20" i="295"/>
  <c r="I20" i="295"/>
  <c r="O20" i="295"/>
  <c r="G20" i="295"/>
  <c r="F20" i="295"/>
  <c r="T20" i="295"/>
  <c r="V44" i="302"/>
  <c r="X20" i="295"/>
  <c r="P20" i="295"/>
  <c r="R44" i="302"/>
  <c r="H20" i="295"/>
  <c r="J44" i="302"/>
  <c r="U20" i="295"/>
  <c r="W44" i="302"/>
  <c r="Z20" i="295"/>
  <c r="AB44" i="302"/>
  <c r="Y20" i="295"/>
  <c r="AA44" i="302"/>
  <c r="N20" i="295"/>
  <c r="P44" i="302"/>
  <c r="Q20" i="295"/>
  <c r="S44" i="302"/>
  <c r="S20" i="295"/>
  <c r="U44" i="302"/>
  <c r="L20" i="295"/>
  <c r="N44" i="302"/>
  <c r="R20" i="295"/>
  <c r="T44" i="302"/>
  <c r="W20" i="295"/>
  <c r="Y44" i="302"/>
  <c r="V20" i="295"/>
  <c r="X44" i="302"/>
  <c r="E20" i="295"/>
  <c r="G44" i="302"/>
  <c r="W20" i="286"/>
  <c r="Y20" i="302"/>
  <c r="X20" i="286"/>
  <c r="Z20" i="302"/>
  <c r="Y20" i="286"/>
  <c r="AA20" i="302"/>
  <c r="L20" i="286"/>
  <c r="N20" i="302"/>
  <c r="R20" i="286"/>
  <c r="T20" i="302"/>
  <c r="F20" i="286"/>
  <c r="H20" i="302"/>
  <c r="E20" i="302"/>
  <c r="Z20" i="286"/>
  <c r="AB20" i="302"/>
  <c r="I20" i="286"/>
  <c r="K20" i="302"/>
  <c r="S20" i="286"/>
  <c r="U20" i="302"/>
  <c r="P20" i="286"/>
  <c r="R20" i="302"/>
  <c r="G20" i="286"/>
  <c r="I20" i="302"/>
  <c r="O20" i="286"/>
  <c r="Q20" i="302"/>
  <c r="N20" i="286"/>
  <c r="P20" i="302"/>
  <c r="F20" i="302"/>
  <c r="Q20" i="286"/>
  <c r="S20" i="302"/>
  <c r="H20" i="286"/>
  <c r="J20" i="302"/>
  <c r="M20" i="286"/>
  <c r="O20" i="302"/>
  <c r="E20" i="286"/>
  <c r="G20" i="302"/>
  <c r="T20" i="286"/>
  <c r="V20" i="302"/>
  <c r="U20" i="286"/>
  <c r="W20" i="302"/>
  <c r="V20" i="286"/>
  <c r="X20" i="302"/>
  <c r="P20" i="290"/>
  <c r="F20" i="285"/>
  <c r="Y20" i="285"/>
  <c r="H20" i="285"/>
  <c r="Q20" i="285"/>
  <c r="U20" i="285"/>
  <c r="W20" i="285"/>
  <c r="Z20" i="285"/>
  <c r="P20" i="285"/>
  <c r="N20" i="285"/>
  <c r="V20" i="285"/>
  <c r="X20" i="285"/>
  <c r="O20" i="285"/>
  <c r="R20" i="285"/>
  <c r="G20" i="285"/>
  <c r="I20" i="285"/>
  <c r="L20" i="285"/>
  <c r="S20" i="285"/>
  <c r="M20" i="285"/>
  <c r="T20" i="285"/>
  <c r="E20" i="285"/>
  <c r="J1" i="275"/>
  <c r="J14" i="275" s="1"/>
  <c r="G5" i="275" l="1"/>
  <c r="N5" i="275"/>
  <c r="N14" i="275" s="1"/>
  <c r="N7" i="275"/>
  <c r="N18" i="275" s="1"/>
  <c r="G14" i="275"/>
  <c r="G7" i="275"/>
  <c r="G18" i="275" s="1"/>
  <c r="G5" i="276"/>
  <c r="G14" i="276" s="1"/>
  <c r="D1" i="278"/>
  <c r="D14" i="278" s="1"/>
  <c r="G7" i="278"/>
  <c r="D1" i="275"/>
  <c r="D14" i="275" s="1"/>
  <c r="G7" i="276"/>
  <c r="L5" i="278"/>
  <c r="L14" i="278" s="1"/>
  <c r="N5" i="276"/>
  <c r="N14" i="276" s="1"/>
  <c r="N1" i="278"/>
  <c r="N5" i="278"/>
  <c r="N14" i="278" s="1"/>
  <c r="G5" i="278"/>
  <c r="G14" i="278" s="1"/>
  <c r="O14" i="278"/>
  <c r="N7" i="278"/>
  <c r="L5" i="275"/>
  <c r="L14" i="275" s="1"/>
  <c r="G1" i="275"/>
  <c r="N7" i="276"/>
  <c r="N18" i="276" s="1"/>
  <c r="L1" i="278"/>
  <c r="N1" i="275"/>
  <c r="O1" i="275"/>
  <c r="O14" i="275"/>
  <c r="O1" i="278"/>
  <c r="F18" i="278"/>
  <c r="D18" i="278"/>
  <c r="H1" i="278"/>
  <c r="H18" i="278"/>
  <c r="B4" i="278"/>
  <c r="I1" i="278"/>
  <c r="F1" i="275"/>
  <c r="E44" i="15"/>
  <c r="M1" i="275"/>
  <c r="Y41" i="44"/>
  <c r="O14" i="276"/>
  <c r="O1" i="276"/>
  <c r="J43" i="15"/>
  <c r="C44" i="15"/>
  <c r="E45" i="15"/>
  <c r="U41" i="44"/>
  <c r="N8" i="275"/>
  <c r="J41" i="44"/>
  <c r="Q41" i="44"/>
  <c r="D1" i="276"/>
  <c r="D14" i="276" s="1"/>
  <c r="K41" i="44"/>
  <c r="N1" i="276"/>
  <c r="P18" i="276"/>
  <c r="R41" i="44"/>
  <c r="E41" i="44"/>
  <c r="S41" i="44"/>
  <c r="H18" i="276"/>
  <c r="H1" i="276"/>
  <c r="C8" i="275"/>
  <c r="H18" i="275"/>
  <c r="G8" i="275"/>
  <c r="L1" i="275"/>
  <c r="L14" i="276"/>
  <c r="L1" i="276"/>
  <c r="Z41" i="44"/>
  <c r="B4" i="275"/>
  <c r="T41" i="44"/>
  <c r="V41" i="44"/>
  <c r="P18" i="275"/>
  <c r="M8" i="275"/>
  <c r="W41" i="44"/>
  <c r="X41" i="44"/>
  <c r="I18" i="276"/>
  <c r="I1" i="276"/>
  <c r="I1" i="275"/>
  <c r="C43" i="15"/>
  <c r="E43" i="15"/>
  <c r="F18" i="276"/>
  <c r="F1" i="276"/>
  <c r="B4" i="276"/>
  <c r="H1" i="275"/>
  <c r="C1" i="278"/>
  <c r="C14" i="278" s="1"/>
  <c r="B29" i="275"/>
  <c r="G1" i="276"/>
  <c r="C1" i="276"/>
  <c r="C14" i="276" s="1"/>
  <c r="K1" i="275"/>
  <c r="K14" i="275" s="1"/>
  <c r="C1" i="275"/>
  <c r="C14" i="275" s="1"/>
  <c r="B7" i="278" l="1"/>
  <c r="N18" i="278"/>
  <c r="G18" i="278"/>
  <c r="B5" i="278"/>
  <c r="B14" i="278"/>
  <c r="B14" i="276"/>
  <c r="E47" i="15"/>
  <c r="C47" i="15"/>
  <c r="B7" i="276"/>
  <c r="B5" i="276"/>
  <c r="B7" i="275"/>
  <c r="H41" i="44"/>
  <c r="B18" i="276"/>
  <c r="B5" i="275"/>
  <c r="B8" i="275"/>
  <c r="I41" i="44"/>
  <c r="P41" i="44"/>
  <c r="F41" i="44"/>
  <c r="N41" i="44"/>
  <c r="B14" i="275"/>
  <c r="B18" i="278" l="1"/>
  <c r="G19" i="278" s="1"/>
  <c r="I14" i="302" s="1"/>
  <c r="G19" i="276"/>
  <c r="B19" i="276"/>
  <c r="L19" i="276"/>
  <c r="D19" i="276"/>
  <c r="O19" i="276"/>
  <c r="M19" i="276"/>
  <c r="C19" i="276"/>
  <c r="B41" i="44"/>
  <c r="E19" i="276"/>
  <c r="Q19" i="276"/>
  <c r="Z19" i="276"/>
  <c r="Y19" i="276"/>
  <c r="U19" i="276"/>
  <c r="W19" i="276"/>
  <c r="S19" i="276"/>
  <c r="T19" i="276"/>
  <c r="R19" i="276"/>
  <c r="J19" i="276"/>
  <c r="X19" i="276"/>
  <c r="V19" i="276"/>
  <c r="K19" i="276"/>
  <c r="H19" i="276"/>
  <c r="F19" i="276"/>
  <c r="B18" i="275"/>
  <c r="G19" i="275" s="1"/>
  <c r="I19" i="276"/>
  <c r="N19" i="276"/>
  <c r="P19" i="276"/>
  <c r="O9" i="275"/>
  <c r="O10" i="275" s="1"/>
  <c r="Q9" i="275"/>
  <c r="Q10" i="275" s="1"/>
  <c r="D9" i="275"/>
  <c r="D10" i="275" s="1"/>
  <c r="J9" i="275"/>
  <c r="J10" i="275" s="1"/>
  <c r="E9" i="275"/>
  <c r="E10" i="275" s="1"/>
  <c r="H9" i="275"/>
  <c r="H10" i="275" s="1"/>
  <c r="X9" i="275"/>
  <c r="X10" i="275" s="1"/>
  <c r="S9" i="275"/>
  <c r="S10" i="275" s="1"/>
  <c r="F9" i="275"/>
  <c r="F10" i="275" s="1"/>
  <c r="L9" i="275"/>
  <c r="L10" i="275" s="1"/>
  <c r="R9" i="275"/>
  <c r="R10" i="275" s="1"/>
  <c r="G9" i="275"/>
  <c r="G10" i="275" s="1"/>
  <c r="K9" i="275"/>
  <c r="K10" i="275" s="1"/>
  <c r="W9" i="275"/>
  <c r="W10" i="275" s="1"/>
  <c r="Y9" i="275"/>
  <c r="Y10" i="275" s="1"/>
  <c r="P9" i="275"/>
  <c r="P10" i="275" s="1"/>
  <c r="M9" i="275"/>
  <c r="M10" i="275" s="1"/>
  <c r="Z10" i="275"/>
  <c r="N9" i="275"/>
  <c r="N10" i="275" s="1"/>
  <c r="V9" i="275"/>
  <c r="V10" i="275" s="1"/>
  <c r="I9" i="275"/>
  <c r="I10" i="275" s="1"/>
  <c r="C9" i="275"/>
  <c r="C10" i="275" s="1"/>
  <c r="T9" i="275"/>
  <c r="T10" i="275" s="1"/>
  <c r="U9" i="275"/>
  <c r="U10" i="275" s="1"/>
  <c r="F19" i="278"/>
  <c r="O19" i="278"/>
  <c r="B19" i="278"/>
  <c r="D14" i="302" s="1"/>
  <c r="B21" i="278"/>
  <c r="L19" i="278"/>
  <c r="C19" i="278"/>
  <c r="E14" i="302" s="1"/>
  <c r="M19" i="278"/>
  <c r="E19" i="278"/>
  <c r="Y19" i="278"/>
  <c r="K19" i="278"/>
  <c r="M14" i="302" s="1"/>
  <c r="W19" i="278"/>
  <c r="X19" i="278"/>
  <c r="R19" i="278"/>
  <c r="T19" i="278"/>
  <c r="Z19" i="278"/>
  <c r="V19" i="278"/>
  <c r="Q19" i="278"/>
  <c r="U19" i="278"/>
  <c r="S19" i="278"/>
  <c r="J19" i="278"/>
  <c r="L14" i="302" s="1"/>
  <c r="N19" i="278"/>
  <c r="P19" i="278"/>
  <c r="D19" i="278"/>
  <c r="F14" i="302" s="1"/>
  <c r="H19" i="278"/>
  <c r="I19" i="278"/>
  <c r="C12" i="275" l="1"/>
  <c r="G20" i="278"/>
  <c r="I8" i="302"/>
  <c r="G9" i="44"/>
  <c r="W11" i="302"/>
  <c r="U42" i="44"/>
  <c r="U20" i="276"/>
  <c r="AA11" i="302"/>
  <c r="Y20" i="276"/>
  <c r="Y42" i="44"/>
  <c r="P11" i="302"/>
  <c r="N42" i="44"/>
  <c r="N20" i="276"/>
  <c r="S11" i="302"/>
  <c r="Q20" i="276"/>
  <c r="Q42" i="44"/>
  <c r="O14" i="302"/>
  <c r="M20" i="278"/>
  <c r="G11" i="302"/>
  <c r="E42" i="44"/>
  <c r="H11" i="302"/>
  <c r="F20" i="276"/>
  <c r="F42" i="44"/>
  <c r="J14" i="302"/>
  <c r="H20" i="278"/>
  <c r="U14" i="302"/>
  <c r="S20" i="278"/>
  <c r="E11" i="302"/>
  <c r="C42" i="44"/>
  <c r="AA14" i="302"/>
  <c r="Y20" i="278"/>
  <c r="J11" i="302"/>
  <c r="H20" i="276"/>
  <c r="H42" i="44"/>
  <c r="O11" i="302"/>
  <c r="M42" i="44"/>
  <c r="M20" i="276"/>
  <c r="Y11" i="302"/>
  <c r="W42" i="44"/>
  <c r="W20" i="276"/>
  <c r="N14" i="302"/>
  <c r="L20" i="278"/>
  <c r="Q11" i="302"/>
  <c r="O42" i="44"/>
  <c r="O20" i="276"/>
  <c r="G14" i="302"/>
  <c r="E20" i="278"/>
  <c r="W19" i="275"/>
  <c r="C19" i="275"/>
  <c r="C9" i="44" s="1"/>
  <c r="B19" i="275"/>
  <c r="D8" i="302" s="1"/>
  <c r="O19" i="275"/>
  <c r="O20" i="275" s="1"/>
  <c r="L19" i="275"/>
  <c r="L20" i="275" s="1"/>
  <c r="T19" i="275"/>
  <c r="T20" i="275" s="1"/>
  <c r="Y19" i="275"/>
  <c r="U19" i="275"/>
  <c r="U20" i="275" s="1"/>
  <c r="X19" i="275"/>
  <c r="X20" i="275" s="1"/>
  <c r="Z19" i="275"/>
  <c r="Z20" i="275" s="1"/>
  <c r="F19" i="275"/>
  <c r="K19" i="275"/>
  <c r="K9" i="44" s="1"/>
  <c r="S19" i="275"/>
  <c r="S40" i="275" s="1"/>
  <c r="V19" i="275"/>
  <c r="Q19" i="275"/>
  <c r="Q40" i="275" s="1"/>
  <c r="J19" i="275"/>
  <c r="J40" i="275" s="1"/>
  <c r="I19" i="275"/>
  <c r="R19" i="275"/>
  <c r="M19" i="275"/>
  <c r="M20" i="275" s="1"/>
  <c r="E19" i="275"/>
  <c r="E40" i="275" s="1"/>
  <c r="P19" i="275"/>
  <c r="P20" i="275" s="1"/>
  <c r="H19" i="275"/>
  <c r="H20" i="275" s="1"/>
  <c r="N19" i="275"/>
  <c r="N40" i="275" s="1"/>
  <c r="D19" i="275"/>
  <c r="D40" i="275" s="1"/>
  <c r="S14" i="302"/>
  <c r="Q20" i="278"/>
  <c r="X11" i="302"/>
  <c r="V20" i="276"/>
  <c r="V42" i="44"/>
  <c r="F11" i="302"/>
  <c r="D42" i="44"/>
  <c r="W14" i="302"/>
  <c r="U20" i="278"/>
  <c r="AB14" i="302"/>
  <c r="Z20" i="278"/>
  <c r="Z11" i="302"/>
  <c r="X42" i="44"/>
  <c r="X20" i="276"/>
  <c r="N11" i="302"/>
  <c r="L20" i="276"/>
  <c r="L42" i="44"/>
  <c r="K11" i="302"/>
  <c r="I42" i="44"/>
  <c r="I20" i="276"/>
  <c r="Q14" i="302"/>
  <c r="O20" i="278"/>
  <c r="V14" i="302"/>
  <c r="T20" i="278"/>
  <c r="B10" i="275"/>
  <c r="F11" i="275"/>
  <c r="F12" i="275"/>
  <c r="L11" i="302"/>
  <c r="J42" i="44"/>
  <c r="D11" i="302"/>
  <c r="B42" i="44"/>
  <c r="K14" i="302"/>
  <c r="I20" i="278"/>
  <c r="R14" i="302"/>
  <c r="P20" i="278"/>
  <c r="H14" i="302"/>
  <c r="F20" i="278"/>
  <c r="T14" i="302"/>
  <c r="R20" i="278"/>
  <c r="T11" i="302"/>
  <c r="R42" i="44"/>
  <c r="R20" i="276"/>
  <c r="I11" i="302"/>
  <c r="G42" i="44"/>
  <c r="G20" i="276"/>
  <c r="R11" i="302"/>
  <c r="P20" i="276"/>
  <c r="P42" i="44"/>
  <c r="P14" i="302"/>
  <c r="N20" i="278"/>
  <c r="M11" i="302"/>
  <c r="K42" i="44"/>
  <c r="Z14" i="302"/>
  <c r="X20" i="278"/>
  <c r="J11" i="275"/>
  <c r="V11" i="302"/>
  <c r="T20" i="276"/>
  <c r="T42" i="44"/>
  <c r="AB11" i="302"/>
  <c r="Z20" i="276"/>
  <c r="Z42" i="44"/>
  <c r="X14" i="302"/>
  <c r="V20" i="278"/>
  <c r="Y14" i="302"/>
  <c r="W20" i="278"/>
  <c r="U11" i="302"/>
  <c r="S42" i="44"/>
  <c r="S20" i="276"/>
  <c r="G31" i="44"/>
  <c r="Y20" i="275"/>
  <c r="Y40" i="275"/>
  <c r="X40" i="275"/>
  <c r="L40" i="275"/>
  <c r="G20" i="275"/>
  <c r="G40" i="275"/>
  <c r="T40" i="275" l="1"/>
  <c r="H40" i="275"/>
  <c r="O40" i="275"/>
  <c r="Z40" i="275"/>
  <c r="U40" i="275"/>
  <c r="N20" i="275"/>
  <c r="P40" i="275"/>
  <c r="S20" i="275"/>
  <c r="E8" i="302"/>
  <c r="Q20" i="275"/>
  <c r="K8" i="302"/>
  <c r="I9" i="44"/>
  <c r="U8" i="302"/>
  <c r="S9" i="44"/>
  <c r="S31" i="44" s="1"/>
  <c r="S24" i="287" s="1"/>
  <c r="M9" i="44"/>
  <c r="M23" i="15" s="1"/>
  <c r="M26" i="15" s="1"/>
  <c r="O8" i="302"/>
  <c r="M8" i="302"/>
  <c r="K31" i="44"/>
  <c r="K24" i="287" s="1"/>
  <c r="H8" i="302"/>
  <c r="F9" i="44"/>
  <c r="T8" i="302"/>
  <c r="R9" i="44"/>
  <c r="X8" i="302"/>
  <c r="V9" i="44"/>
  <c r="C40" i="275"/>
  <c r="AB8" i="302"/>
  <c r="Z9" i="44"/>
  <c r="R20" i="275"/>
  <c r="Z8" i="302"/>
  <c r="X9" i="44"/>
  <c r="Y8" i="302"/>
  <c r="W9" i="44"/>
  <c r="V40" i="275"/>
  <c r="F8" i="302"/>
  <c r="D9" i="44"/>
  <c r="D31" i="44" s="1"/>
  <c r="D24" i="287" s="1"/>
  <c r="W8" i="302"/>
  <c r="U9" i="44"/>
  <c r="S8" i="302"/>
  <c r="Q9" i="44"/>
  <c r="F40" i="275"/>
  <c r="P8" i="302"/>
  <c r="N9" i="44"/>
  <c r="N31" i="44" s="1"/>
  <c r="N24" i="287" s="1"/>
  <c r="AA8" i="302"/>
  <c r="Y9" i="44"/>
  <c r="L8" i="302"/>
  <c r="J9" i="44"/>
  <c r="J31" i="44" s="1"/>
  <c r="J24" i="287" s="1"/>
  <c r="M40" i="275"/>
  <c r="R40" i="275"/>
  <c r="F20" i="275"/>
  <c r="K40" i="275"/>
  <c r="J8" i="302"/>
  <c r="H9" i="44"/>
  <c r="V8" i="302"/>
  <c r="T9" i="44"/>
  <c r="W40" i="275"/>
  <c r="R8" i="302"/>
  <c r="P9" i="44"/>
  <c r="P23" i="275" s="1"/>
  <c r="P26" i="275" s="1"/>
  <c r="N8" i="302"/>
  <c r="L9" i="44"/>
  <c r="L23" i="15" s="1"/>
  <c r="L26" i="15" s="1"/>
  <c r="I40" i="275"/>
  <c r="V20" i="275"/>
  <c r="I20" i="275"/>
  <c r="W20" i="275"/>
  <c r="G8" i="302"/>
  <c r="E9" i="44"/>
  <c r="E31" i="44" s="1"/>
  <c r="E24" i="287" s="1"/>
  <c r="E20" i="275"/>
  <c r="Q8" i="302"/>
  <c r="O9" i="44"/>
  <c r="O31" i="44" s="1"/>
  <c r="O24" i="287" s="1"/>
  <c r="G24" i="287"/>
  <c r="G23" i="275"/>
  <c r="G26" i="275" s="1"/>
  <c r="G23" i="15"/>
  <c r="G26" i="15" s="1"/>
  <c r="E23" i="275" l="1"/>
  <c r="E26" i="275" s="1"/>
  <c r="N23" i="275"/>
  <c r="N26" i="275" s="1"/>
  <c r="E23" i="15"/>
  <c r="E26" i="15" s="1"/>
  <c r="S23" i="15"/>
  <c r="S26" i="15" s="1"/>
  <c r="S23" i="275"/>
  <c r="S26" i="275" s="1"/>
  <c r="N23" i="15"/>
  <c r="N26" i="15" s="1"/>
  <c r="B40" i="275"/>
  <c r="G41" i="275" s="1"/>
  <c r="F31" i="44"/>
  <c r="F24" i="287" s="1"/>
  <c r="F23" i="275"/>
  <c r="F26" i="275" s="1"/>
  <c r="F23" i="15"/>
  <c r="F26" i="15" s="1"/>
  <c r="O23" i="275"/>
  <c r="O26" i="275" s="1"/>
  <c r="K23" i="275"/>
  <c r="K26" i="275" s="1"/>
  <c r="X31" i="44"/>
  <c r="X24" i="287" s="1"/>
  <c r="X23" i="275"/>
  <c r="X26" i="275" s="1"/>
  <c r="X23" i="15"/>
  <c r="X26" i="15" s="1"/>
  <c r="L31" i="44"/>
  <c r="L24" i="287" s="1"/>
  <c r="L23" i="275"/>
  <c r="L26" i="275" s="1"/>
  <c r="Q31" i="44"/>
  <c r="Q24" i="287" s="1"/>
  <c r="Q23" i="15"/>
  <c r="Q26" i="15" s="1"/>
  <c r="Q23" i="275"/>
  <c r="Q26" i="275" s="1"/>
  <c r="Y31" i="44"/>
  <c r="Y24" i="287" s="1"/>
  <c r="Y23" i="15"/>
  <c r="Y26" i="15" s="1"/>
  <c r="Y23" i="275"/>
  <c r="Y26" i="275" s="1"/>
  <c r="D23" i="275"/>
  <c r="D26" i="275" s="1"/>
  <c r="R31" i="44"/>
  <c r="R24" i="287" s="1"/>
  <c r="R23" i="15"/>
  <c r="R26" i="15" s="1"/>
  <c r="H31" i="44"/>
  <c r="H24" i="287" s="1"/>
  <c r="H23" i="275"/>
  <c r="H26" i="275" s="1"/>
  <c r="W31" i="44"/>
  <c r="W24" i="287" s="1"/>
  <c r="W23" i="275"/>
  <c r="W26" i="275" s="1"/>
  <c r="W23" i="15"/>
  <c r="W26" i="15" s="1"/>
  <c r="K23" i="15"/>
  <c r="K26" i="15" s="1"/>
  <c r="J23" i="15"/>
  <c r="J26" i="15" s="1"/>
  <c r="H23" i="15"/>
  <c r="H26" i="15" s="1"/>
  <c r="P31" i="44"/>
  <c r="P24" i="287" s="1"/>
  <c r="P23" i="15"/>
  <c r="P26" i="15" s="1"/>
  <c r="C31" i="44"/>
  <c r="C23" i="15"/>
  <c r="C26" i="15" s="1"/>
  <c r="B9" i="44"/>
  <c r="B23" i="275" s="1"/>
  <c r="C23" i="275"/>
  <c r="C26" i="275" s="1"/>
  <c r="T31" i="44"/>
  <c r="T24" i="287" s="1"/>
  <c r="T23" i="275"/>
  <c r="T26" i="275" s="1"/>
  <c r="T23" i="15"/>
  <c r="T26" i="15" s="1"/>
  <c r="U31" i="44"/>
  <c r="U24" i="287" s="1"/>
  <c r="U23" i="15"/>
  <c r="U26" i="15" s="1"/>
  <c r="U23" i="275"/>
  <c r="U26" i="275" s="1"/>
  <c r="O23" i="15"/>
  <c r="O26" i="15" s="1"/>
  <c r="M31" i="44"/>
  <c r="M24" i="287" s="1"/>
  <c r="M23" i="275"/>
  <c r="M26" i="275" s="1"/>
  <c r="J23" i="275"/>
  <c r="J26" i="275" s="1"/>
  <c r="I31" i="44"/>
  <c r="I24" i="287" s="1"/>
  <c r="I23" i="275"/>
  <c r="I26" i="275" s="1"/>
  <c r="I23" i="15"/>
  <c r="I26" i="15" s="1"/>
  <c r="Z31" i="44"/>
  <c r="Z24" i="287" s="1"/>
  <c r="Z23" i="15"/>
  <c r="Z26" i="15" s="1"/>
  <c r="Z23" i="275"/>
  <c r="Z26" i="275" s="1"/>
  <c r="R23" i="275"/>
  <c r="R26" i="275" s="1"/>
  <c r="D23" i="15"/>
  <c r="D26" i="15" s="1"/>
  <c r="V31" i="44"/>
  <c r="V24" i="287" s="1"/>
  <c r="V23" i="275"/>
  <c r="V26" i="275" s="1"/>
  <c r="V23" i="15"/>
  <c r="V26" i="15" s="1"/>
  <c r="B41" i="275" l="1"/>
  <c r="P41" i="275"/>
  <c r="Q43" i="275" s="1"/>
  <c r="K41" i="275"/>
  <c r="F41" i="275"/>
  <c r="W41" i="275"/>
  <c r="T41" i="275"/>
  <c r="X41" i="275"/>
  <c r="M41" i="275"/>
  <c r="O41" i="275"/>
  <c r="I41" i="275"/>
  <c r="Y41" i="275"/>
  <c r="Q41" i="275"/>
  <c r="R41" i="275"/>
  <c r="N41" i="275"/>
  <c r="B26" i="275"/>
  <c r="O27" i="275" s="1"/>
  <c r="U41" i="275"/>
  <c r="E41" i="275"/>
  <c r="V41" i="275"/>
  <c r="J41" i="275"/>
  <c r="C46" i="275" s="1"/>
  <c r="Z41" i="275"/>
  <c r="L41" i="275"/>
  <c r="H41" i="275"/>
  <c r="D41" i="275"/>
  <c r="C47" i="275" s="1"/>
  <c r="B26" i="15"/>
  <c r="D27" i="15" s="1"/>
  <c r="S41" i="275"/>
  <c r="C41" i="275"/>
  <c r="C24" i="287"/>
  <c r="B31" i="44"/>
  <c r="C32" i="44" s="1"/>
  <c r="C33" i="44" s="1"/>
  <c r="B23" i="15"/>
  <c r="E42" i="275" l="1"/>
  <c r="E43" i="275" s="1"/>
  <c r="P42" i="275"/>
  <c r="P43" i="275" s="1"/>
  <c r="I42" i="275"/>
  <c r="I43" i="275" s="1"/>
  <c r="M42" i="275"/>
  <c r="M43" i="275" s="1"/>
  <c r="G42" i="275"/>
  <c r="G43" i="275" s="1"/>
  <c r="K42" i="275"/>
  <c r="K43" i="275" s="1"/>
  <c r="N42" i="275"/>
  <c r="N43" i="275" s="1"/>
  <c r="L42" i="275"/>
  <c r="L43" i="275" s="1"/>
  <c r="F42" i="275"/>
  <c r="F43" i="275" s="1"/>
  <c r="C42" i="275"/>
  <c r="C43" i="275" s="1"/>
  <c r="O42" i="275"/>
  <c r="O43" i="275" s="1"/>
  <c r="H42" i="275"/>
  <c r="H43" i="275" s="1"/>
  <c r="S27" i="15"/>
  <c r="G27" i="15"/>
  <c r="Y27" i="15"/>
  <c r="M27" i="15"/>
  <c r="Y27" i="275"/>
  <c r="P27" i="275"/>
  <c r="E27" i="15"/>
  <c r="X27" i="275"/>
  <c r="Q27" i="275"/>
  <c r="V27" i="275"/>
  <c r="J27" i="275"/>
  <c r="H27" i="275"/>
  <c r="C27" i="275"/>
  <c r="K27" i="275"/>
  <c r="D27" i="275"/>
  <c r="Z27" i="275"/>
  <c r="E27" i="275"/>
  <c r="U27" i="275"/>
  <c r="W27" i="275"/>
  <c r="S27" i="275"/>
  <c r="G27" i="275"/>
  <c r="J42" i="275"/>
  <c r="J43" i="275" s="1"/>
  <c r="T27" i="275"/>
  <c r="F27" i="275"/>
  <c r="L27" i="275"/>
  <c r="M27" i="275"/>
  <c r="H27" i="15"/>
  <c r="I27" i="275"/>
  <c r="B27" i="275"/>
  <c r="R27" i="275"/>
  <c r="U27" i="15"/>
  <c r="W27" i="15"/>
  <c r="N27" i="275"/>
  <c r="N27" i="15"/>
  <c r="B27" i="15"/>
  <c r="X27" i="15"/>
  <c r="O27" i="15"/>
  <c r="T27" i="15"/>
  <c r="C27" i="15"/>
  <c r="L27" i="15"/>
  <c r="D42" i="275"/>
  <c r="D43" i="275" s="1"/>
  <c r="E47" i="275" s="1"/>
  <c r="P27" i="15"/>
  <c r="J27" i="15"/>
  <c r="V27" i="15"/>
  <c r="Q27" i="15"/>
  <c r="K27" i="15"/>
  <c r="I27" i="15"/>
  <c r="R27" i="15"/>
  <c r="I32" i="44"/>
  <c r="I33" i="44" s="1"/>
  <c r="I26" i="287" s="1"/>
  <c r="Z27" i="15"/>
  <c r="Z32" i="44"/>
  <c r="Z33" i="44" s="1"/>
  <c r="F27" i="15"/>
  <c r="Y32" i="44"/>
  <c r="Y25" i="287" s="1"/>
  <c r="X32" i="44"/>
  <c r="X25" i="287" s="1"/>
  <c r="G32" i="44"/>
  <c r="G25" i="287" s="1"/>
  <c r="O32" i="44"/>
  <c r="O33" i="44" s="1"/>
  <c r="O26" i="287" s="1"/>
  <c r="R32" i="44"/>
  <c r="R25" i="287" s="1"/>
  <c r="D32" i="44"/>
  <c r="C38" i="44" s="1"/>
  <c r="C31" i="287" s="1"/>
  <c r="L32" i="44"/>
  <c r="L33" i="44" s="1"/>
  <c r="L26" i="287" s="1"/>
  <c r="S32" i="44"/>
  <c r="S25" i="287" s="1"/>
  <c r="T32" i="44"/>
  <c r="T33" i="44" s="1"/>
  <c r="T26" i="287" s="1"/>
  <c r="W32" i="44"/>
  <c r="W25" i="287" s="1"/>
  <c r="J32" i="44"/>
  <c r="J33" i="44" s="1"/>
  <c r="B32" i="44"/>
  <c r="K32" i="44"/>
  <c r="K33" i="44" s="1"/>
  <c r="K26" i="287" s="1"/>
  <c r="M32" i="44"/>
  <c r="M33" i="44" s="1"/>
  <c r="M26" i="287" s="1"/>
  <c r="U32" i="44"/>
  <c r="U25" i="287" s="1"/>
  <c r="V32" i="44"/>
  <c r="V25" i="287" s="1"/>
  <c r="E32" i="44"/>
  <c r="E33" i="44" s="1"/>
  <c r="E26" i="287" s="1"/>
  <c r="N32" i="44"/>
  <c r="N33" i="44" s="1"/>
  <c r="N26" i="287" s="1"/>
  <c r="Q32" i="44"/>
  <c r="Q25" i="287" s="1"/>
  <c r="F32" i="44"/>
  <c r="F33" i="44" s="1"/>
  <c r="H32" i="44"/>
  <c r="H33" i="44" s="1"/>
  <c r="H26" i="287" s="1"/>
  <c r="B24" i="287"/>
  <c r="P32" i="44"/>
  <c r="P33" i="44" s="1"/>
  <c r="P26" i="287" s="1"/>
  <c r="C25" i="287"/>
  <c r="F27" i="287"/>
  <c r="I27" i="287"/>
  <c r="M27" i="287"/>
  <c r="N27" i="287"/>
  <c r="L27" i="287"/>
  <c r="H27" i="287"/>
  <c r="O27" i="287"/>
  <c r="E45" i="275"/>
  <c r="E44" i="275" l="1"/>
  <c r="J44" i="275"/>
  <c r="C44" i="275"/>
  <c r="O25" i="287"/>
  <c r="B30" i="275"/>
  <c r="B31" i="275" s="1"/>
  <c r="C45" i="275"/>
  <c r="E46" i="275"/>
  <c r="N25" i="287"/>
  <c r="G33" i="44"/>
  <c r="G26" i="287" s="1"/>
  <c r="B30" i="15"/>
  <c r="B31" i="15" s="1"/>
  <c r="Y33" i="44"/>
  <c r="Y26" i="287" s="1"/>
  <c r="Z25" i="287"/>
  <c r="X33" i="44"/>
  <c r="X26" i="287" s="1"/>
  <c r="Q33" i="44"/>
  <c r="Q26" i="287" s="1"/>
  <c r="D25" i="287"/>
  <c r="S33" i="44"/>
  <c r="S26" i="287" s="1"/>
  <c r="I25" i="287"/>
  <c r="H25" i="287"/>
  <c r="F25" i="287"/>
  <c r="T25" i="287"/>
  <c r="D33" i="44"/>
  <c r="R33" i="44"/>
  <c r="R26" i="287" s="1"/>
  <c r="J25" i="287"/>
  <c r="P25" i="287"/>
  <c r="B25" i="287"/>
  <c r="B33" i="44"/>
  <c r="K25" i="287"/>
  <c r="U33" i="44"/>
  <c r="U26" i="287" s="1"/>
  <c r="V33" i="44"/>
  <c r="V26" i="287" s="1"/>
  <c r="W33" i="44"/>
  <c r="W26" i="287" s="1"/>
  <c r="E25" i="287"/>
  <c r="M25" i="287"/>
  <c r="L25" i="287"/>
  <c r="J26" i="287"/>
  <c r="C26" i="287"/>
  <c r="S27" i="287"/>
  <c r="E27" i="287"/>
  <c r="T27" i="287"/>
  <c r="G27" i="287"/>
  <c r="F26" i="287"/>
  <c r="P27" i="287"/>
  <c r="Q27" i="287"/>
  <c r="R27" i="287"/>
  <c r="I37" i="44"/>
  <c r="I30" i="287" s="1"/>
  <c r="V27" i="287"/>
  <c r="K27" i="287"/>
  <c r="E36" i="44"/>
  <c r="E29" i="287" s="1"/>
  <c r="U27" i="287"/>
  <c r="W27" i="287"/>
  <c r="X27" i="287"/>
  <c r="Y27" i="287"/>
  <c r="C27" i="287"/>
  <c r="E35" i="44"/>
  <c r="E28" i="287" s="1"/>
  <c r="Z27" i="287"/>
  <c r="Z26" i="287"/>
  <c r="J27" i="287"/>
  <c r="J35" i="44"/>
  <c r="J28" i="287" s="1"/>
  <c r="E38" i="44"/>
  <c r="E31" i="287" s="1"/>
  <c r="E37" i="44"/>
  <c r="E30" i="287" s="1"/>
  <c r="E48" i="275" l="1"/>
  <c r="C48" i="275"/>
  <c r="C35" i="44"/>
  <c r="C28" i="287" s="1"/>
  <c r="C36" i="44"/>
  <c r="D26" i="287"/>
  <c r="A33" i="44"/>
  <c r="A26" i="287" s="1"/>
  <c r="B26" i="287"/>
  <c r="D27" i="287"/>
  <c r="I36" i="44"/>
  <c r="I29" i="287" s="1"/>
  <c r="E39" i="44"/>
  <c r="E32" i="287" s="1"/>
  <c r="C39" i="44" l="1"/>
  <c r="C32" i="287" s="1"/>
  <c r="C29" i="287"/>
  <c r="C37" i="44"/>
  <c r="C30" i="287" s="1"/>
</calcChain>
</file>

<file path=xl/sharedStrings.xml><?xml version="1.0" encoding="utf-8"?>
<sst xmlns="http://schemas.openxmlformats.org/spreadsheetml/2006/main" count="9143" uniqueCount="302">
  <si>
    <t>Sb</t>
  </si>
  <si>
    <t>At Co</t>
  </si>
  <si>
    <t>At Ni</t>
  </si>
  <si>
    <t>At Cr</t>
  </si>
  <si>
    <t>At Si</t>
  </si>
  <si>
    <t>At Mg</t>
  </si>
  <si>
    <t>At Fe</t>
  </si>
  <si>
    <t xml:space="preserve"> </t>
  </si>
  <si>
    <t>Ni</t>
  </si>
  <si>
    <t>Cu</t>
  </si>
  <si>
    <t>Sn</t>
  </si>
  <si>
    <t>Pb</t>
  </si>
  <si>
    <t>Al</t>
  </si>
  <si>
    <t>Mg</t>
  </si>
  <si>
    <t>Fe</t>
  </si>
  <si>
    <t>Si</t>
  </si>
  <si>
    <t>Mn</t>
  </si>
  <si>
    <t>Ti</t>
  </si>
  <si>
    <t>Charge:</t>
  </si>
  <si>
    <t>Material:</t>
  </si>
  <si>
    <t>Einsatzgewicht:</t>
  </si>
  <si>
    <t>Endgewicht:</t>
  </si>
  <si>
    <t>kg</t>
  </si>
  <si>
    <t>Soll (%)</t>
  </si>
  <si>
    <t>Ist (%)</t>
  </si>
  <si>
    <t>Zusatz (kg)</t>
  </si>
  <si>
    <t>Soll kg</t>
  </si>
  <si>
    <t>Ist kg</t>
  </si>
  <si>
    <t xml:space="preserve">Gewicht </t>
  </si>
  <si>
    <t>Differenz (kg)</t>
  </si>
  <si>
    <t>Summe:</t>
  </si>
  <si>
    <t>Summe Einsatz+Zusätze:</t>
  </si>
  <si>
    <t>А</t>
  </si>
  <si>
    <t>Б</t>
  </si>
  <si>
    <t>delta Тигель и теор опт.</t>
  </si>
  <si>
    <t>Сплав в тигле</t>
  </si>
  <si>
    <t>Эквивалент Сплава в тигле</t>
  </si>
  <si>
    <t>Opt.45 теор.опт. Эквивалент</t>
  </si>
  <si>
    <t>Element</t>
  </si>
  <si>
    <t>TIGEL_EQIWALENT_AT.</t>
  </si>
  <si>
    <t>30+12+12</t>
  </si>
  <si>
    <t>12+12</t>
  </si>
  <si>
    <t>20+30</t>
  </si>
  <si>
    <t>Co</t>
  </si>
  <si>
    <t>Cr</t>
  </si>
  <si>
    <t>Zr</t>
  </si>
  <si>
    <t>Bi</t>
  </si>
  <si>
    <t>At Cu</t>
  </si>
  <si>
    <t>At Mn</t>
  </si>
  <si>
    <t>At Ti</t>
  </si>
  <si>
    <t>Teor.EQ</t>
  </si>
  <si>
    <t>Tigel_EQ</t>
  </si>
  <si>
    <t>At W</t>
  </si>
  <si>
    <t>At Mo</t>
  </si>
  <si>
    <t>At C</t>
  </si>
  <si>
    <t>Mo</t>
  </si>
  <si>
    <t>C</t>
  </si>
  <si>
    <t>P</t>
  </si>
  <si>
    <t>S</t>
  </si>
  <si>
    <t>ADI1400</t>
  </si>
  <si>
    <t>CuCPS</t>
  </si>
  <si>
    <t>SnMnMg</t>
  </si>
  <si>
    <t>at</t>
  </si>
  <si>
    <t>Mg+Zr</t>
  </si>
  <si>
    <t>Zn+R</t>
  </si>
  <si>
    <t>20+9</t>
  </si>
  <si>
    <t>30+24+10</t>
  </si>
  <si>
    <t>Sum</t>
  </si>
  <si>
    <t>Cu20+Cu1Mg2,13</t>
  </si>
  <si>
    <t>Cu12+4,44</t>
  </si>
  <si>
    <t>Si60+(Si6+Mg2+Al5)</t>
  </si>
  <si>
    <t>10+13+0,7</t>
  </si>
  <si>
    <t>Si30+Si12+Si12+(Si12Mg1)+Mg1,34</t>
  </si>
  <si>
    <t>Cu10+(Cu7MgAl4Ti2,6)</t>
  </si>
  <si>
    <t>12+12+12+30</t>
  </si>
  <si>
    <t>Cu12+(Cu5Mg2Al6)+Ti0,6</t>
  </si>
  <si>
    <t>Si30+Si24+(Si10Mg2)+Mg0,34</t>
  </si>
  <si>
    <t>N</t>
  </si>
  <si>
    <t>At In</t>
  </si>
  <si>
    <t>ADI-1400</t>
  </si>
  <si>
    <t>V</t>
  </si>
  <si>
    <t>Nb</t>
  </si>
  <si>
    <t>W</t>
  </si>
  <si>
    <t>Ta</t>
  </si>
  <si>
    <t>Re</t>
  </si>
  <si>
    <t>At Nb</t>
  </si>
  <si>
    <t>at w Al</t>
  </si>
  <si>
    <t>GJS400_18</t>
  </si>
  <si>
    <t>CCuNi</t>
  </si>
  <si>
    <t>Mn+Cr</t>
  </si>
  <si>
    <t>p3</t>
  </si>
  <si>
    <t>R</t>
  </si>
  <si>
    <t>теор сплав с добавками</t>
  </si>
  <si>
    <t>EQ_At%</t>
  </si>
  <si>
    <t>Rm</t>
  </si>
  <si>
    <t>Rp</t>
  </si>
  <si>
    <t>A</t>
  </si>
  <si>
    <t>Q</t>
  </si>
  <si>
    <t>400-18</t>
  </si>
  <si>
    <t>500-14</t>
  </si>
  <si>
    <t>Boccardo</t>
  </si>
  <si>
    <t>Mo1</t>
  </si>
  <si>
    <t>Mo2</t>
  </si>
  <si>
    <t>Mo3</t>
  </si>
  <si>
    <t>Mo4</t>
  </si>
  <si>
    <t>Mo5</t>
  </si>
  <si>
    <t>SAAL1</t>
  </si>
  <si>
    <t>SAAL2</t>
  </si>
  <si>
    <t>SAAL3</t>
  </si>
  <si>
    <t>Shama1</t>
  </si>
  <si>
    <t>Shama2</t>
  </si>
  <si>
    <t>Ce</t>
  </si>
  <si>
    <t>BeheraSG1</t>
  </si>
  <si>
    <t>BeheraSG2</t>
  </si>
  <si>
    <t>BeheraSG3</t>
  </si>
  <si>
    <t>BeheraSG4</t>
  </si>
  <si>
    <t>BeheraSG5</t>
  </si>
  <si>
    <t>BeheraSG6</t>
  </si>
  <si>
    <t>BeheraSG7</t>
  </si>
  <si>
    <t>BeheraSG8</t>
  </si>
  <si>
    <t>CARAZO</t>
  </si>
  <si>
    <t>NANDA1</t>
  </si>
  <si>
    <t>Nanda2</t>
  </si>
  <si>
    <t>Kovacs</t>
  </si>
  <si>
    <t>Lin</t>
  </si>
  <si>
    <t>Patamunda</t>
  </si>
  <si>
    <t>Takahashi</t>
  </si>
  <si>
    <t>Stenfors</t>
  </si>
  <si>
    <t>Aoyama</t>
  </si>
  <si>
    <t>Varahraam</t>
  </si>
  <si>
    <t>400-18LT</t>
  </si>
  <si>
    <t>Kolacheva</t>
  </si>
  <si>
    <t>Moualla</t>
  </si>
  <si>
    <t>Moualla2</t>
  </si>
  <si>
    <t>Moualla3</t>
  </si>
  <si>
    <t>Moualla2.5A</t>
  </si>
  <si>
    <t>Moualla2.4A</t>
  </si>
  <si>
    <t>Moualla2.3A</t>
  </si>
  <si>
    <t>Moualla2.2A</t>
  </si>
  <si>
    <t>Catipovic1</t>
  </si>
  <si>
    <t>Catipovic2</t>
  </si>
  <si>
    <t>Catipovic3</t>
  </si>
  <si>
    <t>Catipovic4</t>
  </si>
  <si>
    <t>Catipovic5</t>
  </si>
  <si>
    <t>Catipovic6</t>
  </si>
  <si>
    <t>NOUhauser4</t>
  </si>
  <si>
    <t>NOUhauser3</t>
  </si>
  <si>
    <t>NOUhauser2</t>
  </si>
  <si>
    <t>NOUhauser1</t>
  </si>
  <si>
    <t>DWü15</t>
  </si>
  <si>
    <t>DWü14</t>
  </si>
  <si>
    <t>DWü13</t>
  </si>
  <si>
    <t>DWü12</t>
  </si>
  <si>
    <t>DWü11</t>
  </si>
  <si>
    <t>DWü10</t>
  </si>
  <si>
    <t>DWü9</t>
  </si>
  <si>
    <t>DWü8</t>
  </si>
  <si>
    <t>DWü7</t>
  </si>
  <si>
    <t>DWü6</t>
  </si>
  <si>
    <t>DWü5</t>
  </si>
  <si>
    <t>MITTELWERT</t>
  </si>
  <si>
    <t>108,312528+E14:BA15943396</t>
  </si>
  <si>
    <t>Ni+Cu+P+S+N At.% v tigle</t>
  </si>
  <si>
    <t>Ni+Cu+P+S+N At.% posle dobavok</t>
  </si>
  <si>
    <t>Delta At%</t>
  </si>
  <si>
    <t>СОСТАВ ПОСЛЕ РАЗБАВЛЕНИЯ</t>
  </si>
  <si>
    <t>СОСТАВ ПОСЛЕ РАЗБ, Атом</t>
  </si>
  <si>
    <t>Mn+Mg</t>
  </si>
  <si>
    <t>опт. сплав минус примеси из углерода в АТ.</t>
  </si>
  <si>
    <t>опт. сплав минус примеси из углерода в ВЕСОВ.</t>
  </si>
  <si>
    <t>C+Si</t>
  </si>
  <si>
    <t>C+Si+Ni</t>
  </si>
  <si>
    <t>Mg_Mn</t>
  </si>
  <si>
    <t>0,5_0,5</t>
  </si>
  <si>
    <t>0,5_1</t>
  </si>
  <si>
    <t>0,5_1,5</t>
  </si>
  <si>
    <t>0,5_2</t>
  </si>
  <si>
    <t>0,62_1,38</t>
  </si>
  <si>
    <t>0,75_1,25</t>
  </si>
  <si>
    <t>Summ</t>
  </si>
  <si>
    <t>0,62_0,38</t>
  </si>
  <si>
    <t>0,62_2,38</t>
  </si>
  <si>
    <t>0,5_2,5</t>
  </si>
  <si>
    <t>0,75_2,25</t>
  </si>
  <si>
    <t>С</t>
  </si>
  <si>
    <t>opt_1</t>
  </si>
  <si>
    <t>opt_2</t>
  </si>
  <si>
    <t>opt_3</t>
  </si>
  <si>
    <t>opt_4</t>
  </si>
  <si>
    <t>opt_5</t>
  </si>
  <si>
    <t>opt_6</t>
  </si>
  <si>
    <t>opt_7</t>
  </si>
  <si>
    <t>opt_8</t>
  </si>
  <si>
    <t>opt_9</t>
  </si>
  <si>
    <t>opt_10</t>
  </si>
  <si>
    <t>opt_11</t>
  </si>
  <si>
    <t>opt_12</t>
  </si>
  <si>
    <t>opt_13</t>
  </si>
  <si>
    <t>opt_14</t>
  </si>
  <si>
    <t>Сu</t>
  </si>
  <si>
    <t>C+Si+Ni+Cu+P+S+N</t>
  </si>
  <si>
    <t>Mo+Cr+Al+V</t>
  </si>
  <si>
    <t>Ni+Cu+P+S</t>
  </si>
  <si>
    <t>0,38_1</t>
  </si>
  <si>
    <t>B</t>
  </si>
  <si>
    <t>OPT_1</t>
  </si>
  <si>
    <t>OPT_2</t>
  </si>
  <si>
    <t>OPT_3</t>
  </si>
  <si>
    <t>OPT_4</t>
  </si>
  <si>
    <t>OPT_5</t>
  </si>
  <si>
    <t>OPT_6</t>
  </si>
  <si>
    <t>OPT_7</t>
  </si>
  <si>
    <t>OPT_8</t>
  </si>
  <si>
    <t>OPT_9</t>
  </si>
  <si>
    <t>OPT_10</t>
  </si>
  <si>
    <t>OPT_11</t>
  </si>
  <si>
    <t>OPT_12</t>
  </si>
  <si>
    <t>OPT_13</t>
  </si>
  <si>
    <t>Mn+Al+Ti</t>
  </si>
  <si>
    <t>C+Si+P+S</t>
  </si>
  <si>
    <t>OPT_9; 3,5+3,5</t>
  </si>
  <si>
    <t>OPT_ 8; 3+3,5;</t>
  </si>
  <si>
    <t>OPT_7; 3+3</t>
  </si>
  <si>
    <t>OPT_6; 3+2,5</t>
  </si>
  <si>
    <t>OPT_5; 2,5+2,5</t>
  </si>
  <si>
    <t>OPT_4; 2+2,5</t>
  </si>
  <si>
    <t>OPT_3; 2+2</t>
  </si>
  <si>
    <t>OPT_2; 2+1,5</t>
  </si>
  <si>
    <t>OPT_1; 2+1</t>
  </si>
  <si>
    <t>OPT_10; 4+3,5</t>
  </si>
  <si>
    <t>OPT_11; 4+4</t>
  </si>
  <si>
    <t>OPT_12; 4+4,5</t>
  </si>
  <si>
    <t>OPT_13; 4+4,62</t>
  </si>
  <si>
    <t>d</t>
  </si>
  <si>
    <t>Zn</t>
  </si>
  <si>
    <t>8+8+10+12</t>
  </si>
  <si>
    <t>8+8+12+12</t>
  </si>
  <si>
    <t>C+Si+P+S+B</t>
  </si>
  <si>
    <t>SUMMA</t>
  </si>
  <si>
    <t>Zusatz, Kg</t>
  </si>
  <si>
    <t>Opt./Zusatz</t>
  </si>
  <si>
    <t>E34,6</t>
  </si>
  <si>
    <t>8+8+6+10</t>
  </si>
  <si>
    <t>12+1</t>
  </si>
  <si>
    <t>E42,79</t>
  </si>
  <si>
    <t>E41,78</t>
  </si>
  <si>
    <t>E30,3_E31</t>
  </si>
  <si>
    <t>E48</t>
  </si>
  <si>
    <t>E45</t>
  </si>
  <si>
    <t>E29 (174)</t>
  </si>
  <si>
    <t>E6 (36)</t>
  </si>
  <si>
    <t>KUGELICH</t>
  </si>
  <si>
    <t>XNiMn13-7; 5.3506</t>
  </si>
  <si>
    <t>XNiMn30-3; 5.3507</t>
  </si>
  <si>
    <t>E41,78 (249)</t>
  </si>
  <si>
    <t>E37 (222)</t>
  </si>
  <si>
    <t>E4 8+6+10</t>
  </si>
  <si>
    <t>E23 (138)</t>
  </si>
  <si>
    <t>XNiMn30-5-5; 5.3508</t>
  </si>
  <si>
    <t>E48 (288)</t>
  </si>
  <si>
    <t>E41,9 (250)</t>
  </si>
  <si>
    <t>XNiMn35-3; 5.3509</t>
  </si>
  <si>
    <t>E41,78_41,9 (250)</t>
  </si>
  <si>
    <t>E45 (270)</t>
  </si>
  <si>
    <t>Pintington Class3TupA</t>
  </si>
  <si>
    <t>Composition in the crucible</t>
  </si>
  <si>
    <t>Specification, min.</t>
  </si>
  <si>
    <t>Specification, max.</t>
  </si>
  <si>
    <t>Optimized composition</t>
  </si>
  <si>
    <t>Operating weight (kg):</t>
  </si>
  <si>
    <t>Final weight (kg):</t>
  </si>
  <si>
    <t>Addition (kg)</t>
  </si>
  <si>
    <t>Pintington Class2TupD</t>
  </si>
  <si>
    <t>Clas2_TupA</t>
  </si>
  <si>
    <t>DIAMOND</t>
  </si>
  <si>
    <t>GRANIT</t>
  </si>
  <si>
    <t>TOUGT</t>
  </si>
  <si>
    <t>Mn+Cr+Mo</t>
  </si>
  <si>
    <t>FeSi75</t>
  </si>
  <si>
    <t>FeMn73</t>
  </si>
  <si>
    <t>FeCr69</t>
  </si>
  <si>
    <t>Fe Gew.</t>
  </si>
  <si>
    <t>Ca</t>
  </si>
  <si>
    <t>Elmag</t>
  </si>
  <si>
    <t>Содерж. В 1 Kg. V грамах</t>
  </si>
  <si>
    <t>Содерж. В 1 Kg. V Kg</t>
  </si>
  <si>
    <t>необходимое количество VL в КГ.</t>
  </si>
  <si>
    <t>Fe Summe</t>
  </si>
  <si>
    <t>FeMo70</t>
  </si>
  <si>
    <t>STANDART</t>
  </si>
  <si>
    <t>Clas2_Tup_D</t>
  </si>
  <si>
    <t>MARS 500</t>
  </si>
  <si>
    <t>MARS 440 4-5mm</t>
  </si>
  <si>
    <t>MARS 440 20-70mm</t>
  </si>
  <si>
    <t>MARS 280</t>
  </si>
  <si>
    <t>MARS 380=500 V</t>
  </si>
  <si>
    <t>10+8</t>
  </si>
  <si>
    <t>MARS 650</t>
  </si>
  <si>
    <t>MARS 600 do 20</t>
  </si>
  <si>
    <t>MARS 600 bolee 20</t>
  </si>
  <si>
    <t>La</t>
  </si>
  <si>
    <t>Atome von Legierungselementen in einem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</si>
</sst>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0.000"/>
    <numFmt numFmtId="166" formatCode="0.0000"/>
  </numFmts>
  <fonts count="140" x14ac:knownFonts="1">
    <font>
      <sz val="11"/>
      <color theme="1"/>
      <name val="Calibri"/>
      <family val="2"/>
      <scheme val="minor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2"/>
      <name val="Arial"/>
      <family val="2"/>
      <charset val="204"/>
    </font>
    <font>
      <b/>
      <sz val="12"/>
      <color indexed="8"/>
      <name val="Arial"/>
      <family val="2"/>
    </font>
    <font>
      <sz val="12"/>
      <name val="Arial"/>
      <family val="2"/>
      <charset val="204"/>
    </font>
    <font>
      <i/>
      <sz val="12"/>
      <color rgb="FF9C0006"/>
      <name val="Calibri"/>
      <family val="2"/>
      <scheme val="minor"/>
    </font>
    <font>
      <sz val="12"/>
      <color rgb="FF9C0006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name val="Arial"/>
      <family val="2"/>
    </font>
    <font>
      <b/>
      <sz val="14"/>
      <color indexed="12"/>
      <name val="Arial"/>
      <family val="2"/>
    </font>
    <font>
      <sz val="14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0"/>
      <name val="Arial"/>
      <family val="2"/>
      <charset val="204"/>
    </font>
    <font>
      <i/>
      <sz val="11"/>
      <color rgb="FF3F3F76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9C0006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006100"/>
      <name val="Calibri"/>
      <family val="2"/>
      <charset val="204"/>
      <scheme val="minor"/>
    </font>
    <font>
      <b/>
      <sz val="14"/>
      <color rgb="FF9C0006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2"/>
      <color indexed="63"/>
      <name val="Arial"/>
      <family val="2"/>
    </font>
    <font>
      <b/>
      <sz val="14"/>
      <color rgb="FF0070C0"/>
      <name val="Arial"/>
      <family val="2"/>
    </font>
    <font>
      <sz val="10"/>
      <name val="Arial"/>
      <family val="2"/>
    </font>
    <font>
      <sz val="18"/>
      <color theme="1"/>
      <name val="Calibri"/>
      <family val="2"/>
      <scheme val="minor"/>
    </font>
    <font>
      <b/>
      <sz val="18"/>
      <color indexed="8"/>
      <name val="Arial"/>
      <family val="2"/>
    </font>
    <font>
      <sz val="18"/>
      <color rgb="FF006100"/>
      <name val="Arial"/>
      <family val="2"/>
    </font>
    <font>
      <sz val="18"/>
      <name val="Arial"/>
      <family val="2"/>
      <charset val="204"/>
    </font>
    <font>
      <i/>
      <sz val="18"/>
      <color rgb="FF3F3F76"/>
      <name val="Calibri"/>
      <family val="2"/>
      <scheme val="minor"/>
    </font>
    <font>
      <i/>
      <sz val="18"/>
      <color theme="1"/>
      <name val="Calibri"/>
      <family val="2"/>
      <scheme val="minor"/>
    </font>
    <font>
      <i/>
      <sz val="18"/>
      <color rgb="FF9C0006"/>
      <name val="Calibri"/>
      <family val="2"/>
      <scheme val="minor"/>
    </font>
    <font>
      <sz val="18"/>
      <color rgb="FF9C0006"/>
      <name val="Arial"/>
      <family val="2"/>
    </font>
    <font>
      <b/>
      <sz val="18"/>
      <color rgb="FF3F3F3F"/>
      <name val="Calibri"/>
      <family val="2"/>
      <scheme val="minor"/>
    </font>
    <font>
      <sz val="18"/>
      <color rgb="FF9C5700"/>
      <name val="Calibri"/>
      <family val="2"/>
      <scheme val="minor"/>
    </font>
    <font>
      <sz val="18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0"/>
      <name val="Arial"/>
      <family val="2"/>
    </font>
    <font>
      <b/>
      <sz val="16"/>
      <color rgb="FF006100"/>
      <name val="Arial"/>
      <family val="2"/>
    </font>
    <font>
      <sz val="16"/>
      <color rgb="FF006100"/>
      <name val="Arial"/>
      <family val="2"/>
    </font>
    <font>
      <sz val="16"/>
      <color rgb="FF9C0006"/>
      <name val="Arial"/>
      <family val="2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Arial"/>
      <family val="2"/>
      <charset val="204"/>
    </font>
    <font>
      <b/>
      <sz val="16"/>
      <name val="Arial"/>
      <family val="2"/>
    </font>
    <font>
      <i/>
      <sz val="14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2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rgb="FF9C0006"/>
      <name val="Calibri"/>
      <family val="2"/>
      <scheme val="minor"/>
    </font>
    <font>
      <i/>
      <sz val="14"/>
      <color rgb="FF3F3F76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6"/>
      <color indexed="12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6"/>
      <color rgb="FF9C0006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sz val="16"/>
      <color rgb="FF006100"/>
      <name val="Calibri"/>
      <family val="2"/>
      <charset val="204"/>
      <scheme val="minor"/>
    </font>
    <font>
      <sz val="16"/>
      <color rgb="FF9C0006"/>
      <name val="Calibri"/>
      <family val="2"/>
      <charset val="204"/>
      <scheme val="minor"/>
    </font>
    <font>
      <i/>
      <sz val="16"/>
      <color rgb="FF9C0006"/>
      <name val="Calibri"/>
      <family val="2"/>
      <scheme val="minor"/>
    </font>
    <font>
      <i/>
      <sz val="16"/>
      <color rgb="FF3F3F76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6"/>
      <color indexed="63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4"/>
      <color rgb="FF7030A0"/>
      <name val="Arial"/>
      <family val="2"/>
    </font>
    <font>
      <b/>
      <sz val="14"/>
      <color rgb="FF7030A0"/>
      <name val="Calibri"/>
      <family val="2"/>
      <charset val="204"/>
      <scheme val="minor"/>
    </font>
    <font>
      <sz val="14"/>
      <color rgb="FF7030A0"/>
      <name val="Arial"/>
      <family val="2"/>
    </font>
    <font>
      <sz val="14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18"/>
      <name val="Calibri"/>
      <family val="2"/>
      <scheme val="minor"/>
    </font>
    <font>
      <b/>
      <sz val="14"/>
      <color theme="5" tint="-0.249977111117893"/>
      <name val="Arial"/>
      <family val="2"/>
    </font>
    <font>
      <b/>
      <sz val="14"/>
      <color theme="5" tint="-0.249977111117893"/>
      <name val="Calibri"/>
      <family val="2"/>
      <charset val="204"/>
      <scheme val="minor"/>
    </font>
    <font>
      <sz val="14"/>
      <color theme="5" tint="-0.249977111117893"/>
      <name val="Arial"/>
      <family val="2"/>
    </font>
    <font>
      <sz val="14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1"/>
      <name val="Arial"/>
      <family val="2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0"/>
      <color rgb="FF002060"/>
      <name val="Arial"/>
      <family val="2"/>
    </font>
    <font>
      <sz val="20"/>
      <name val="Arial"/>
      <family val="2"/>
    </font>
    <font>
      <sz val="22"/>
      <color theme="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sz val="2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7030A0"/>
      <name val="Arial"/>
      <family val="2"/>
    </font>
    <font>
      <sz val="12"/>
      <color rgb="FF7030A0"/>
      <name val="Arial"/>
      <family val="2"/>
    </font>
    <font>
      <b/>
      <sz val="12"/>
      <color rgb="FF000000"/>
      <name val="Arial"/>
      <family val="2"/>
    </font>
    <font>
      <sz val="7"/>
      <color rgb="FF000000"/>
      <name val="Arial"/>
      <family val="2"/>
    </font>
    <font>
      <sz val="12"/>
      <color rgb="FF000000"/>
      <name val="Arial"/>
      <family val="2"/>
    </font>
    <font>
      <b/>
      <sz val="14"/>
      <color rgb="FFFF0000"/>
      <name val="Arial"/>
      <family val="2"/>
    </font>
    <font>
      <sz val="22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41"/>
        <bgColor indexed="64"/>
      </patternFill>
    </fill>
    <fill>
      <patternFill patternType="solid">
        <fgColor rgb="FFFFCC99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9FD69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3" fillId="5" borderId="4" applyNumberFormat="0" applyAlignment="0" applyProtection="0"/>
    <xf numFmtId="0" fontId="24" fillId="8" borderId="0" applyNumberFormat="0" applyBorder="0" applyAlignment="0" applyProtection="0"/>
    <xf numFmtId="0" fontId="25" fillId="9" borderId="5" applyNumberFormat="0" applyAlignment="0" applyProtection="0"/>
  </cellStyleXfs>
  <cellXfs count="33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5" fillId="0" borderId="0" xfId="0" applyFont="1" applyAlignment="1">
      <alignment horizontal="center"/>
    </xf>
    <xf numFmtId="0" fontId="5" fillId="4" borderId="1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" fontId="9" fillId="0" borderId="0" xfId="0" applyNumberFormat="1" applyFont="1"/>
    <xf numFmtId="0" fontId="9" fillId="0" borderId="0" xfId="0" applyFont="1"/>
    <xf numFmtId="0" fontId="5" fillId="0" borderId="2" xfId="0" applyFont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164" fontId="9" fillId="0" borderId="2" xfId="0" applyNumberFormat="1" applyFont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5" fillId="0" borderId="3" xfId="0" applyFont="1" applyBorder="1" applyAlignment="1">
      <alignment horizontal="center"/>
    </xf>
    <xf numFmtId="164" fontId="12" fillId="0" borderId="0" xfId="0" applyNumberFormat="1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16" fillId="2" borderId="0" xfId="1" applyFont="1"/>
    <xf numFmtId="0" fontId="17" fillId="3" borderId="0" xfId="2" applyFont="1"/>
    <xf numFmtId="0" fontId="18" fillId="0" borderId="0" xfId="0" applyFont="1"/>
    <xf numFmtId="0" fontId="19" fillId="6" borderId="0" xfId="0" applyFont="1" applyFill="1"/>
    <xf numFmtId="0" fontId="5" fillId="6" borderId="0" xfId="0" applyFont="1" applyFill="1"/>
    <xf numFmtId="0" fontId="20" fillId="0" borderId="0" xfId="0" applyFont="1"/>
    <xf numFmtId="0" fontId="21" fillId="0" borderId="4" xfId="2" applyFont="1" applyFill="1" applyBorder="1"/>
    <xf numFmtId="0" fontId="21" fillId="0" borderId="0" xfId="2" applyFont="1" applyFill="1" applyBorder="1"/>
    <xf numFmtId="0" fontId="22" fillId="0" borderId="0" xfId="2" applyFont="1" applyFill="1" applyBorder="1"/>
    <xf numFmtId="0" fontId="23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8" fillId="0" borderId="0" xfId="0" applyFont="1" applyAlignment="1">
      <alignment horizontal="right"/>
    </xf>
    <xf numFmtId="0" fontId="29" fillId="0" borderId="0" xfId="0" applyFont="1"/>
    <xf numFmtId="0" fontId="30" fillId="0" borderId="0" xfId="0" applyFont="1"/>
    <xf numFmtId="17" fontId="5" fillId="0" borderId="0" xfId="0" applyNumberFormat="1" applyFont="1"/>
    <xf numFmtId="0" fontId="5" fillId="10" borderId="0" xfId="0" applyFont="1" applyFill="1"/>
    <xf numFmtId="0" fontId="31" fillId="0" borderId="0" xfId="0" applyFont="1"/>
    <xf numFmtId="0" fontId="1" fillId="10" borderId="0" xfId="1" applyFill="1" applyBorder="1"/>
    <xf numFmtId="0" fontId="1" fillId="0" borderId="0" xfId="1" applyFill="1" applyBorder="1"/>
    <xf numFmtId="0" fontId="32" fillId="0" borderId="0" xfId="0" applyFont="1"/>
    <xf numFmtId="0" fontId="33" fillId="0" borderId="0" xfId="0" applyFont="1"/>
    <xf numFmtId="0" fontId="34" fillId="0" borderId="4" xfId="3" applyFont="1" applyFill="1"/>
    <xf numFmtId="0" fontId="35" fillId="0" borderId="0" xfId="0" applyFont="1"/>
    <xf numFmtId="0" fontId="36" fillId="0" borderId="4" xfId="2" applyFont="1" applyFill="1" applyBorder="1"/>
    <xf numFmtId="0" fontId="36" fillId="0" borderId="0" xfId="2" applyFont="1" applyFill="1" applyBorder="1"/>
    <xf numFmtId="0" fontId="13" fillId="0" borderId="4" xfId="3" applyFill="1"/>
    <xf numFmtId="0" fontId="2" fillId="0" borderId="0" xfId="2" applyFill="1" applyBorder="1"/>
    <xf numFmtId="0" fontId="25" fillId="0" borderId="5" xfId="5" applyFill="1"/>
    <xf numFmtId="0" fontId="1" fillId="7" borderId="0" xfId="1" applyFill="1" applyBorder="1"/>
    <xf numFmtId="2" fontId="0" fillId="11" borderId="0" xfId="0" applyNumberFormat="1" applyFill="1"/>
    <xf numFmtId="0" fontId="24" fillId="0" borderId="0" xfId="4" applyFill="1" applyBorder="1"/>
    <xf numFmtId="0" fontId="37" fillId="0" borderId="0" xfId="0" applyFont="1"/>
    <xf numFmtId="0" fontId="38" fillId="2" borderId="0" xfId="1" applyFont="1"/>
    <xf numFmtId="0" fontId="37" fillId="12" borderId="0" xfId="1" applyFont="1" applyFill="1"/>
    <xf numFmtId="0" fontId="37" fillId="12" borderId="0" xfId="2" applyFont="1" applyFill="1"/>
    <xf numFmtId="0" fontId="39" fillId="13" borderId="0" xfId="2" applyFont="1" applyFill="1"/>
    <xf numFmtId="0" fontId="40" fillId="13" borderId="0" xfId="1" applyFont="1" applyFill="1"/>
    <xf numFmtId="0" fontId="40" fillId="13" borderId="0" xfId="2" applyFont="1" applyFill="1"/>
    <xf numFmtId="0" fontId="1" fillId="2" borderId="0" xfId="1"/>
    <xf numFmtId="0" fontId="41" fillId="0" borderId="0" xfId="0" applyFont="1"/>
    <xf numFmtId="0" fontId="42" fillId="0" borderId="0" xfId="0" applyFont="1"/>
    <xf numFmtId="0" fontId="37" fillId="14" borderId="0" xfId="0" applyFont="1" applyFill="1"/>
    <xf numFmtId="0" fontId="8" fillId="14" borderId="0" xfId="0" applyFont="1" applyFill="1"/>
    <xf numFmtId="0" fontId="43" fillId="0" borderId="0" xfId="0" applyFont="1" applyAlignment="1">
      <alignment horizontal="right"/>
    </xf>
    <xf numFmtId="0" fontId="10" fillId="0" borderId="0" xfId="0" applyFont="1"/>
    <xf numFmtId="0" fontId="44" fillId="0" borderId="0" xfId="0" applyFont="1"/>
    <xf numFmtId="0" fontId="11" fillId="0" borderId="0" xfId="0" applyFont="1" applyAlignment="1">
      <alignment horizontal="right"/>
    </xf>
    <xf numFmtId="0" fontId="45" fillId="6" borderId="0" xfId="0" applyFont="1" applyFill="1"/>
    <xf numFmtId="0" fontId="10" fillId="6" borderId="0" xfId="0" applyFont="1" applyFill="1"/>
    <xf numFmtId="0" fontId="11" fillId="0" borderId="0" xfId="0" applyFont="1"/>
    <xf numFmtId="0" fontId="46" fillId="10" borderId="0" xfId="1" applyFont="1" applyFill="1" applyBorder="1"/>
    <xf numFmtId="0" fontId="46" fillId="0" borderId="0" xfId="1" applyFont="1" applyFill="1" applyBorder="1"/>
    <xf numFmtId="0" fontId="47" fillId="0" borderId="0" xfId="0" applyFont="1"/>
    <xf numFmtId="0" fontId="48" fillId="0" borderId="4" xfId="3" applyFont="1" applyFill="1"/>
    <xf numFmtId="0" fontId="49" fillId="0" borderId="0" xfId="0" applyFont="1"/>
    <xf numFmtId="0" fontId="50" fillId="0" borderId="4" xfId="2" applyFont="1" applyFill="1" applyBorder="1"/>
    <xf numFmtId="0" fontId="50" fillId="0" borderId="0" xfId="2" applyFont="1" applyFill="1" applyBorder="1"/>
    <xf numFmtId="0" fontId="51" fillId="0" borderId="0" xfId="2" applyFont="1" applyFill="1" applyBorder="1"/>
    <xf numFmtId="0" fontId="52" fillId="0" borderId="5" xfId="5" applyFont="1" applyFill="1"/>
    <xf numFmtId="2" fontId="44" fillId="11" borderId="0" xfId="0" applyNumberFormat="1" applyFont="1" applyFill="1"/>
    <xf numFmtId="0" fontId="53" fillId="0" borderId="0" xfId="4" applyFont="1" applyFill="1" applyBorder="1"/>
    <xf numFmtId="0" fontId="54" fillId="0" borderId="0" xfId="2" applyFont="1" applyFill="1" applyBorder="1"/>
    <xf numFmtId="0" fontId="10" fillId="10" borderId="0" xfId="0" applyFont="1" applyFill="1"/>
    <xf numFmtId="0" fontId="55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164" fontId="9" fillId="0" borderId="6" xfId="0" applyNumberFormat="1" applyFont="1" applyBorder="1" applyAlignment="1">
      <alignment horizontal="center"/>
    </xf>
    <xf numFmtId="0" fontId="26" fillId="10" borderId="0" xfId="0" applyFont="1" applyFill="1"/>
    <xf numFmtId="0" fontId="14" fillId="10" borderId="0" xfId="0" applyFont="1" applyFill="1"/>
    <xf numFmtId="0" fontId="16" fillId="10" borderId="0" xfId="1" applyFont="1" applyFill="1"/>
    <xf numFmtId="0" fontId="0" fillId="10" borderId="0" xfId="0" applyFill="1"/>
    <xf numFmtId="0" fontId="57" fillId="0" borderId="0" xfId="0" applyFont="1"/>
    <xf numFmtId="2" fontId="1" fillId="0" borderId="0" xfId="1" applyNumberFormat="1" applyFill="1" applyBorder="1"/>
    <xf numFmtId="2" fontId="1" fillId="2" borderId="0" xfId="1" applyNumberFormat="1"/>
    <xf numFmtId="2" fontId="0" fillId="13" borderId="0" xfId="0" applyNumberFormat="1" applyFill="1"/>
    <xf numFmtId="2" fontId="2" fillId="3" borderId="0" xfId="2" applyNumberFormat="1"/>
    <xf numFmtId="2" fontId="0" fillId="15" borderId="0" xfId="0" applyNumberFormat="1" applyFill="1"/>
    <xf numFmtId="2" fontId="0" fillId="17" borderId="0" xfId="0" applyNumberFormat="1" applyFill="1"/>
    <xf numFmtId="2" fontId="1" fillId="15" borderId="0" xfId="1" applyNumberFormat="1" applyFill="1"/>
    <xf numFmtId="2" fontId="1" fillId="13" borderId="0" xfId="1" applyNumberFormat="1" applyFill="1"/>
    <xf numFmtId="2" fontId="58" fillId="10" borderId="0" xfId="1" applyNumberFormat="1" applyFont="1" applyFill="1"/>
    <xf numFmtId="2" fontId="0" fillId="10" borderId="0" xfId="0" applyNumberFormat="1" applyFill="1"/>
    <xf numFmtId="2" fontId="1" fillId="17" borderId="0" xfId="1" applyNumberFormat="1" applyFill="1"/>
    <xf numFmtId="2" fontId="59" fillId="10" borderId="0" xfId="1" applyNumberFormat="1" applyFont="1" applyFill="1"/>
    <xf numFmtId="2" fontId="2" fillId="13" borderId="0" xfId="2" applyNumberFormat="1" applyFill="1"/>
    <xf numFmtId="2" fontId="60" fillId="10" borderId="0" xfId="2" applyNumberFormat="1" applyFont="1" applyFill="1"/>
    <xf numFmtId="2" fontId="55" fillId="10" borderId="0" xfId="0" applyNumberFormat="1" applyFont="1" applyFill="1"/>
    <xf numFmtId="2" fontId="24" fillId="8" borderId="0" xfId="4" applyNumberFormat="1"/>
    <xf numFmtId="2" fontId="0" fillId="16" borderId="0" xfId="0" applyNumberFormat="1" applyFill="1"/>
    <xf numFmtId="2" fontId="2" fillId="18" borderId="0" xfId="2" applyNumberFormat="1" applyFill="1"/>
    <xf numFmtId="2" fontId="0" fillId="19" borderId="0" xfId="0" applyNumberFormat="1" applyFill="1"/>
    <xf numFmtId="2" fontId="51" fillId="13" borderId="0" xfId="2" applyNumberFormat="1" applyFont="1" applyFill="1"/>
    <xf numFmtId="2" fontId="5" fillId="0" borderId="0" xfId="0" applyNumberFormat="1" applyFont="1"/>
    <xf numFmtId="2" fontId="5" fillId="10" borderId="0" xfId="0" applyNumberFormat="1" applyFont="1" applyFill="1"/>
    <xf numFmtId="2" fontId="7" fillId="0" borderId="0" xfId="0" applyNumberFormat="1" applyFont="1"/>
    <xf numFmtId="2" fontId="2" fillId="10" borderId="0" xfId="2" applyNumberFormat="1" applyFill="1"/>
    <xf numFmtId="0" fontId="23" fillId="10" borderId="0" xfId="0" applyFont="1" applyFill="1"/>
    <xf numFmtId="0" fontId="62" fillId="0" borderId="0" xfId="0" applyFont="1"/>
    <xf numFmtId="0" fontId="0" fillId="12" borderId="0" xfId="0" applyFill="1"/>
    <xf numFmtId="0" fontId="0" fillId="19" borderId="0" xfId="0" applyFill="1"/>
    <xf numFmtId="0" fontId="63" fillId="11" borderId="0" xfId="0" applyFont="1" applyFill="1"/>
    <xf numFmtId="0" fontId="63" fillId="10" borderId="0" xfId="0" applyFont="1" applyFill="1"/>
    <xf numFmtId="0" fontId="63" fillId="15" borderId="0" xfId="0" applyFont="1" applyFill="1"/>
    <xf numFmtId="0" fontId="63" fillId="22" borderId="0" xfId="0" applyFont="1" applyFill="1"/>
    <xf numFmtId="0" fontId="63" fillId="0" borderId="0" xfId="0" applyFont="1"/>
    <xf numFmtId="0" fontId="63" fillId="18" borderId="0" xfId="0" applyFont="1" applyFill="1"/>
    <xf numFmtId="0" fontId="64" fillId="21" borderId="0" xfId="0" applyFont="1" applyFill="1"/>
    <xf numFmtId="0" fontId="63" fillId="23" borderId="0" xfId="0" applyFont="1" applyFill="1"/>
    <xf numFmtId="2" fontId="9" fillId="0" borderId="2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165" fontId="9" fillId="0" borderId="2" xfId="0" applyNumberFormat="1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0" fontId="65" fillId="0" borderId="0" xfId="0" applyFont="1"/>
    <xf numFmtId="0" fontId="66" fillId="0" borderId="0" xfId="0" applyFont="1"/>
    <xf numFmtId="0" fontId="36" fillId="0" borderId="7" xfId="2" applyFont="1" applyFill="1" applyBorder="1"/>
    <xf numFmtId="0" fontId="1" fillId="12" borderId="0" xfId="1" applyFill="1"/>
    <xf numFmtId="0" fontId="5" fillId="12" borderId="0" xfId="0" applyFont="1" applyFill="1"/>
    <xf numFmtId="0" fontId="18" fillId="12" borderId="0" xfId="0" applyFont="1" applyFill="1"/>
    <xf numFmtId="0" fontId="67" fillId="14" borderId="0" xfId="0" applyFont="1" applyFill="1"/>
    <xf numFmtId="0" fontId="68" fillId="14" borderId="0" xfId="0" applyFont="1" applyFill="1"/>
    <xf numFmtId="0" fontId="68" fillId="14" borderId="0" xfId="1" applyFont="1" applyFill="1"/>
    <xf numFmtId="0" fontId="65" fillId="14" borderId="0" xfId="0" applyFont="1" applyFill="1"/>
    <xf numFmtId="0" fontId="69" fillId="10" borderId="0" xfId="2" applyFont="1" applyFill="1" applyBorder="1"/>
    <xf numFmtId="0" fontId="8" fillId="10" borderId="0" xfId="0" applyFont="1" applyFill="1"/>
    <xf numFmtId="0" fontId="0" fillId="24" borderId="0" xfId="0" applyFill="1"/>
    <xf numFmtId="0" fontId="70" fillId="15" borderId="0" xfId="0" applyFont="1" applyFill="1"/>
    <xf numFmtId="0" fontId="69" fillId="0" borderId="4" xfId="2" applyFont="1" applyFill="1" applyBorder="1"/>
    <xf numFmtId="0" fontId="71" fillId="0" borderId="0" xfId="0" applyFont="1"/>
    <xf numFmtId="165" fontId="0" fillId="0" borderId="0" xfId="0" applyNumberFormat="1"/>
    <xf numFmtId="0" fontId="72" fillId="0" borderId="0" xfId="0" applyFont="1"/>
    <xf numFmtId="0" fontId="73" fillId="0" borderId="0" xfId="0" applyFont="1" applyAlignment="1">
      <alignment horizontal="right"/>
    </xf>
    <xf numFmtId="0" fontId="74" fillId="0" borderId="0" xfId="0" applyFont="1"/>
    <xf numFmtId="0" fontId="75" fillId="10" borderId="0" xfId="1" applyFont="1" applyFill="1"/>
    <xf numFmtId="0" fontId="76" fillId="3" borderId="0" xfId="2" applyFont="1"/>
    <xf numFmtId="0" fontId="73" fillId="0" borderId="0" xfId="0" applyFont="1"/>
    <xf numFmtId="0" fontId="75" fillId="2" borderId="0" xfId="1" applyFont="1"/>
    <xf numFmtId="0" fontId="77" fillId="14" borderId="0" xfId="0" applyFont="1" applyFill="1"/>
    <xf numFmtId="0" fontId="78" fillId="2" borderId="0" xfId="1" applyFont="1"/>
    <xf numFmtId="0" fontId="77" fillId="12" borderId="0" xfId="1" applyFont="1" applyFill="1"/>
    <xf numFmtId="0" fontId="77" fillId="12" borderId="0" xfId="2" applyFont="1" applyFill="1"/>
    <xf numFmtId="0" fontId="79" fillId="13" borderId="0" xfId="2" applyFont="1" applyFill="1"/>
    <xf numFmtId="0" fontId="72" fillId="13" borderId="0" xfId="1" applyFont="1" applyFill="1"/>
    <xf numFmtId="0" fontId="72" fillId="13" borderId="0" xfId="2" applyFont="1" applyFill="1"/>
    <xf numFmtId="0" fontId="80" fillId="0" borderId="4" xfId="3" applyFont="1" applyFill="1"/>
    <xf numFmtId="0" fontId="81" fillId="0" borderId="0" xfId="0" applyFont="1"/>
    <xf numFmtId="0" fontId="8" fillId="18" borderId="0" xfId="0" applyFont="1" applyFill="1"/>
    <xf numFmtId="0" fontId="82" fillId="6" borderId="0" xfId="0" applyFont="1" applyFill="1"/>
    <xf numFmtId="0" fontId="72" fillId="6" borderId="0" xfId="0" applyFont="1" applyFill="1"/>
    <xf numFmtId="0" fontId="75" fillId="10" borderId="0" xfId="1" applyFont="1" applyFill="1" applyBorder="1"/>
    <xf numFmtId="0" fontId="75" fillId="0" borderId="0" xfId="1" applyFont="1" applyFill="1" applyBorder="1"/>
    <xf numFmtId="0" fontId="83" fillId="0" borderId="0" xfId="0" applyFont="1"/>
    <xf numFmtId="0" fontId="66" fillId="0" borderId="0" xfId="0" applyFont="1" applyAlignment="1">
      <alignment horizontal="right"/>
    </xf>
    <xf numFmtId="0" fontId="84" fillId="0" borderId="0" xfId="0" applyFont="1"/>
    <xf numFmtId="0" fontId="55" fillId="10" borderId="0" xfId="0" applyFont="1" applyFill="1"/>
    <xf numFmtId="0" fontId="85" fillId="2" borderId="0" xfId="1" applyFont="1"/>
    <xf numFmtId="0" fontId="86" fillId="3" borderId="0" xfId="2" applyFont="1"/>
    <xf numFmtId="0" fontId="63" fillId="14" borderId="0" xfId="0" applyFont="1" applyFill="1"/>
    <xf numFmtId="0" fontId="87" fillId="2" borderId="0" xfId="1" applyFont="1"/>
    <xf numFmtId="0" fontId="63" fillId="12" borderId="0" xfId="1" applyFont="1" applyFill="1"/>
    <xf numFmtId="0" fontId="63" fillId="12" borderId="0" xfId="2" applyFont="1" applyFill="1"/>
    <xf numFmtId="0" fontId="88" fillId="13" borderId="0" xfId="2" applyFont="1" applyFill="1"/>
    <xf numFmtId="0" fontId="65" fillId="13" borderId="0" xfId="1" applyFont="1" applyFill="1"/>
    <xf numFmtId="0" fontId="65" fillId="13" borderId="0" xfId="2" applyFont="1" applyFill="1"/>
    <xf numFmtId="0" fontId="55" fillId="14" borderId="0" xfId="0" applyFont="1" applyFill="1"/>
    <xf numFmtId="0" fontId="89" fillId="0" borderId="0" xfId="0" applyFont="1"/>
    <xf numFmtId="0" fontId="90" fillId="0" borderId="0" xfId="0" applyFont="1"/>
    <xf numFmtId="0" fontId="92" fillId="3" borderId="0" xfId="2" applyFont="1"/>
    <xf numFmtId="0" fontId="91" fillId="2" borderId="0" xfId="1" applyFont="1"/>
    <xf numFmtId="0" fontId="93" fillId="0" borderId="4" xfId="2" applyFont="1" applyFill="1" applyBorder="1"/>
    <xf numFmtId="0" fontId="55" fillId="24" borderId="0" xfId="0" applyFont="1" applyFill="1"/>
    <xf numFmtId="0" fontId="94" fillId="0" borderId="4" xfId="3" applyFont="1" applyFill="1"/>
    <xf numFmtId="0" fontId="95" fillId="0" borderId="0" xfId="0" applyFont="1"/>
    <xf numFmtId="0" fontId="95" fillId="10" borderId="0" xfId="0" applyFont="1" applyFill="1"/>
    <xf numFmtId="0" fontId="96" fillId="6" borderId="0" xfId="0" applyFont="1" applyFill="1"/>
    <xf numFmtId="0" fontId="65" fillId="6" borderId="0" xfId="0" applyFont="1" applyFill="1"/>
    <xf numFmtId="0" fontId="85" fillId="10" borderId="0" xfId="1" applyFont="1" applyFill="1" applyBorder="1"/>
    <xf numFmtId="0" fontId="85" fillId="0" borderId="0" xfId="1" applyFont="1" applyFill="1" applyBorder="1"/>
    <xf numFmtId="0" fontId="97" fillId="0" borderId="0" xfId="0" applyFont="1"/>
    <xf numFmtId="0" fontId="85" fillId="12" borderId="0" xfId="1" applyFont="1" applyFill="1"/>
    <xf numFmtId="0" fontId="65" fillId="12" borderId="0" xfId="0" applyFont="1" applyFill="1"/>
    <xf numFmtId="0" fontId="65" fillId="14" borderId="0" xfId="1" applyFont="1" applyFill="1"/>
    <xf numFmtId="0" fontId="55" fillId="20" borderId="0" xfId="0" applyFont="1" applyFill="1"/>
    <xf numFmtId="0" fontId="98" fillId="0" borderId="0" xfId="0" applyFont="1"/>
    <xf numFmtId="0" fontId="55" fillId="18" borderId="0" xfId="0" applyFont="1" applyFill="1"/>
    <xf numFmtId="0" fontId="99" fillId="0" borderId="0" xfId="0" applyFont="1"/>
    <xf numFmtId="0" fontId="100" fillId="0" borderId="0" xfId="0" applyFont="1"/>
    <xf numFmtId="0" fontId="100" fillId="2" borderId="0" xfId="1" applyFont="1"/>
    <xf numFmtId="0" fontId="100" fillId="12" borderId="0" xfId="1" applyFont="1" applyFill="1"/>
    <xf numFmtId="0" fontId="100" fillId="12" borderId="0" xfId="2" applyFont="1" applyFill="1"/>
    <xf numFmtId="0" fontId="100" fillId="13" borderId="0" xfId="2" applyFont="1" applyFill="1"/>
    <xf numFmtId="0" fontId="100" fillId="13" borderId="0" xfId="1" applyFont="1" applyFill="1"/>
    <xf numFmtId="0" fontId="101" fillId="0" borderId="0" xfId="0" applyFont="1"/>
    <xf numFmtId="0" fontId="101" fillId="0" borderId="0" xfId="0" applyFont="1" applyAlignment="1">
      <alignment horizontal="right"/>
    </xf>
    <xf numFmtId="0" fontId="102" fillId="0" borderId="0" xfId="0" applyFont="1"/>
    <xf numFmtId="0" fontId="103" fillId="0" borderId="0" xfId="0" applyFont="1"/>
    <xf numFmtId="0" fontId="100" fillId="14" borderId="0" xfId="0" applyFont="1" applyFill="1"/>
    <xf numFmtId="0" fontId="104" fillId="14" borderId="0" xfId="0" applyFont="1" applyFill="1"/>
    <xf numFmtId="0" fontId="104" fillId="0" borderId="0" xfId="0" applyFont="1"/>
    <xf numFmtId="0" fontId="105" fillId="0" borderId="0" xfId="0" applyFont="1"/>
    <xf numFmtId="0" fontId="102" fillId="14" borderId="0" xfId="0" applyFont="1" applyFill="1"/>
    <xf numFmtId="0" fontId="108" fillId="0" borderId="0" xfId="0" applyFont="1"/>
    <xf numFmtId="0" fontId="44" fillId="0" borderId="0" xfId="0" applyFont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/>
    <xf numFmtId="0" fontId="111" fillId="0" borderId="0" xfId="0" applyFont="1"/>
    <xf numFmtId="0" fontId="111" fillId="2" borderId="0" xfId="1" applyFont="1"/>
    <xf numFmtId="0" fontId="111" fillId="12" borderId="0" xfId="1" applyFont="1" applyFill="1"/>
    <xf numFmtId="0" fontId="111" fillId="12" borderId="0" xfId="2" applyFont="1" applyFill="1"/>
    <xf numFmtId="0" fontId="111" fillId="13" borderId="0" xfId="2" applyFont="1" applyFill="1"/>
    <xf numFmtId="0" fontId="111" fillId="13" borderId="0" xfId="1" applyFont="1" applyFill="1"/>
    <xf numFmtId="0" fontId="112" fillId="0" borderId="0" xfId="0" applyFont="1"/>
    <xf numFmtId="0" fontId="112" fillId="0" borderId="0" xfId="0" applyFont="1" applyAlignment="1">
      <alignment horizontal="right"/>
    </xf>
    <xf numFmtId="0" fontId="113" fillId="0" borderId="0" xfId="0" applyFont="1"/>
    <xf numFmtId="0" fontId="114" fillId="0" borderId="0" xfId="0" applyFont="1"/>
    <xf numFmtId="0" fontId="55" fillId="0" borderId="0" xfId="0" applyFont="1" applyAlignment="1">
      <alignment horizontal="center"/>
    </xf>
    <xf numFmtId="2" fontId="55" fillId="10" borderId="0" xfId="0" applyNumberFormat="1" applyFont="1" applyFill="1" applyAlignment="1">
      <alignment horizontal="center"/>
    </xf>
    <xf numFmtId="2" fontId="55" fillId="24" borderId="0" xfId="0" applyNumberFormat="1" applyFont="1" applyFill="1" applyAlignment="1">
      <alignment horizontal="center"/>
    </xf>
    <xf numFmtId="0" fontId="55" fillId="24" borderId="0" xfId="0" applyFont="1" applyFill="1" applyAlignment="1">
      <alignment horizontal="center"/>
    </xf>
    <xf numFmtId="0" fontId="63" fillId="0" borderId="0" xfId="0" applyFont="1" applyAlignment="1">
      <alignment horizontal="center"/>
    </xf>
    <xf numFmtId="0" fontId="115" fillId="0" borderId="0" xfId="0" applyFont="1" applyAlignment="1">
      <alignment horizontal="center"/>
    </xf>
    <xf numFmtId="2" fontId="63" fillId="10" borderId="0" xfId="0" applyNumberFormat="1" applyFont="1" applyFill="1" applyAlignment="1">
      <alignment horizontal="center"/>
    </xf>
    <xf numFmtId="2" fontId="63" fillId="24" borderId="0" xfId="0" applyNumberFormat="1" applyFont="1" applyFill="1" applyAlignment="1">
      <alignment horizontal="center"/>
    </xf>
    <xf numFmtId="2" fontId="63" fillId="0" borderId="0" xfId="0" applyNumberFormat="1" applyFont="1" applyAlignment="1">
      <alignment horizontal="center"/>
    </xf>
    <xf numFmtId="0" fontId="70" fillId="0" borderId="0" xfId="0" applyFont="1" applyAlignment="1">
      <alignment horizontal="center"/>
    </xf>
    <xf numFmtId="2" fontId="63" fillId="0" borderId="0" xfId="0" applyNumberFormat="1" applyFont="1"/>
    <xf numFmtId="2" fontId="101" fillId="0" borderId="0" xfId="0" applyNumberFormat="1" applyFont="1"/>
    <xf numFmtId="2" fontId="102" fillId="0" borderId="0" xfId="0" applyNumberFormat="1" applyFont="1"/>
    <xf numFmtId="0" fontId="106" fillId="0" borderId="0" xfId="0" applyFont="1"/>
    <xf numFmtId="0" fontId="116" fillId="7" borderId="0" xfId="0" applyFont="1" applyFill="1" applyAlignment="1">
      <alignment horizontal="center"/>
    </xf>
    <xf numFmtId="2" fontId="117" fillId="7" borderId="0" xfId="0" applyNumberFormat="1" applyFont="1" applyFill="1" applyAlignment="1">
      <alignment horizontal="center"/>
    </xf>
    <xf numFmtId="0" fontId="117" fillId="7" borderId="0" xfId="0" applyFont="1" applyFill="1" applyAlignment="1">
      <alignment horizontal="center"/>
    </xf>
    <xf numFmtId="0" fontId="107" fillId="7" borderId="0" xfId="0" applyFont="1" applyFill="1"/>
    <xf numFmtId="0" fontId="117" fillId="7" borderId="0" xfId="0" applyFont="1" applyFill="1"/>
    <xf numFmtId="0" fontId="118" fillId="7" borderId="0" xfId="0" applyFont="1" applyFill="1" applyAlignment="1">
      <alignment horizontal="center"/>
    </xf>
    <xf numFmtId="2" fontId="119" fillId="7" borderId="0" xfId="0" applyNumberFormat="1" applyFont="1" applyFill="1" applyAlignment="1">
      <alignment horizontal="center"/>
    </xf>
    <xf numFmtId="0" fontId="56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123" fillId="25" borderId="0" xfId="0" applyFont="1" applyFill="1" applyAlignment="1">
      <alignment horizontal="center"/>
    </xf>
    <xf numFmtId="0" fontId="124" fillId="0" borderId="0" xfId="0" applyFont="1" applyAlignment="1">
      <alignment horizontal="center"/>
    </xf>
    <xf numFmtId="0" fontId="125" fillId="0" borderId="0" xfId="0" applyFont="1"/>
    <xf numFmtId="0" fontId="126" fillId="0" borderId="0" xfId="0" applyFont="1"/>
    <xf numFmtId="0" fontId="126" fillId="10" borderId="0" xfId="0" applyFont="1" applyFill="1"/>
    <xf numFmtId="0" fontId="125" fillId="10" borderId="0" xfId="0" applyFont="1" applyFill="1"/>
    <xf numFmtId="0" fontId="127" fillId="0" borderId="0" xfId="0" applyFont="1"/>
    <xf numFmtId="0" fontId="127" fillId="0" borderId="0" xfId="0" applyFont="1" applyAlignment="1">
      <alignment horizontal="right"/>
    </xf>
    <xf numFmtId="3" fontId="55" fillId="10" borderId="0" xfId="0" applyNumberFormat="1" applyFont="1" applyFill="1"/>
    <xf numFmtId="0" fontId="55" fillId="13" borderId="0" xfId="0" applyFont="1" applyFill="1"/>
    <xf numFmtId="0" fontId="108" fillId="13" borderId="0" xfId="0" applyFont="1" applyFill="1"/>
    <xf numFmtId="0" fontId="99" fillId="10" borderId="0" xfId="0" applyFont="1" applyFill="1"/>
    <xf numFmtId="0" fontId="99" fillId="12" borderId="0" xfId="0" applyFont="1" applyFill="1"/>
    <xf numFmtId="0" fontId="72" fillId="10" borderId="0" xfId="0" applyFont="1" applyFill="1"/>
    <xf numFmtId="0" fontId="72" fillId="12" borderId="0" xfId="0" applyFont="1" applyFill="1"/>
    <xf numFmtId="0" fontId="120" fillId="0" borderId="2" xfId="0" applyFont="1" applyBorder="1" applyAlignment="1">
      <alignment horizontal="center"/>
    </xf>
    <xf numFmtId="0" fontId="123" fillId="25" borderId="2" xfId="0" applyFont="1" applyFill="1" applyBorder="1" applyAlignment="1">
      <alignment horizontal="center"/>
    </xf>
    <xf numFmtId="2" fontId="124" fillId="0" borderId="2" xfId="0" applyNumberFormat="1" applyFont="1" applyBorder="1" applyAlignment="1">
      <alignment horizontal="center"/>
    </xf>
    <xf numFmtId="0" fontId="124" fillId="0" borderId="2" xfId="0" applyFont="1" applyBorder="1" applyAlignment="1">
      <alignment horizontal="center"/>
    </xf>
    <xf numFmtId="0" fontId="56" fillId="0" borderId="2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0" fillId="0" borderId="2" xfId="0" applyBorder="1"/>
    <xf numFmtId="0" fontId="121" fillId="0" borderId="2" xfId="0" applyFont="1" applyBorder="1"/>
    <xf numFmtId="0" fontId="55" fillId="0" borderId="2" xfId="0" applyFont="1" applyBorder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7" fillId="20" borderId="0" xfId="0" applyFont="1" applyFill="1"/>
    <xf numFmtId="0" fontId="131" fillId="0" borderId="0" xfId="0" applyFont="1"/>
    <xf numFmtId="0" fontId="132" fillId="0" borderId="0" xfId="0" applyFont="1"/>
    <xf numFmtId="2" fontId="0" fillId="0" borderId="0" xfId="0" applyNumberFormat="1"/>
    <xf numFmtId="0" fontId="137" fillId="0" borderId="0" xfId="0" applyFont="1"/>
    <xf numFmtId="3" fontId="108" fillId="10" borderId="0" xfId="0" applyNumberFormat="1" applyFont="1" applyFill="1"/>
    <xf numFmtId="164" fontId="23" fillId="0" borderId="0" xfId="0" applyNumberFormat="1" applyFont="1"/>
    <xf numFmtId="0" fontId="138" fillId="0" borderId="0" xfId="0" applyFont="1"/>
    <xf numFmtId="2" fontId="23" fillId="0" borderId="0" xfId="0" applyNumberFormat="1" applyFont="1"/>
    <xf numFmtId="0" fontId="115" fillId="0" borderId="0" xfId="0" applyFont="1"/>
    <xf numFmtId="0" fontId="26" fillId="0" borderId="8" xfId="0" applyFont="1" applyFill="1" applyBorder="1" applyAlignment="1">
      <alignment horizontal="center"/>
    </xf>
    <xf numFmtId="0" fontId="139" fillId="0" borderId="0" xfId="0" applyFont="1"/>
    <xf numFmtId="0" fontId="23" fillId="0" borderId="0" xfId="0" applyNumberFormat="1" applyFont="1"/>
    <xf numFmtId="0" fontId="125" fillId="25" borderId="2" xfId="0" applyFont="1" applyFill="1" applyBorder="1" applyAlignment="1">
      <alignment horizontal="center"/>
    </xf>
    <xf numFmtId="164" fontId="44" fillId="16" borderId="2" xfId="0" applyNumberFormat="1" applyFont="1" applyFill="1" applyBorder="1" applyAlignment="1">
      <alignment horizontal="center"/>
    </xf>
    <xf numFmtId="165" fontId="44" fillId="16" borderId="2" xfId="0" applyNumberFormat="1" applyFont="1" applyFill="1" applyBorder="1" applyAlignment="1">
      <alignment horizontal="center"/>
    </xf>
    <xf numFmtId="0" fontId="57" fillId="0" borderId="2" xfId="0" applyFont="1" applyBorder="1" applyAlignment="1">
      <alignment horizontal="center"/>
    </xf>
    <xf numFmtId="2" fontId="57" fillId="0" borderId="2" xfId="0" applyNumberFormat="1" applyFont="1" applyBorder="1" applyAlignment="1">
      <alignment horizontal="center"/>
    </xf>
    <xf numFmtId="0" fontId="57" fillId="0" borderId="0" xfId="0" applyFont="1" applyAlignment="1">
      <alignment horizontal="center"/>
    </xf>
    <xf numFmtId="0" fontId="26" fillId="0" borderId="0" xfId="0" applyFont="1" applyFill="1" applyBorder="1" applyAlignment="1">
      <alignment horizontal="center"/>
    </xf>
    <xf numFmtId="164" fontId="70" fillId="11" borderId="9" xfId="0" applyNumberFormat="1" applyFont="1" applyFill="1" applyBorder="1" applyAlignment="1">
      <alignment horizontal="center"/>
    </xf>
    <xf numFmtId="164" fontId="70" fillId="11" borderId="10" xfId="0" applyNumberFormat="1" applyFont="1" applyFill="1" applyBorder="1" applyAlignment="1">
      <alignment horizontal="center"/>
    </xf>
    <xf numFmtId="164" fontId="70" fillId="11" borderId="11" xfId="0" applyNumberFormat="1" applyFont="1" applyFill="1" applyBorder="1" applyAlignment="1">
      <alignment horizontal="center"/>
    </xf>
    <xf numFmtId="2" fontId="70" fillId="28" borderId="12" xfId="0" applyNumberFormat="1" applyFont="1" applyFill="1" applyBorder="1" applyAlignment="1">
      <alignment horizontal="center"/>
    </xf>
    <xf numFmtId="0" fontId="70" fillId="28" borderId="13" xfId="0" applyFont="1" applyFill="1" applyBorder="1" applyAlignment="1">
      <alignment horizontal="center"/>
    </xf>
    <xf numFmtId="2" fontId="70" fillId="28" borderId="13" xfId="0" applyNumberFormat="1" applyFont="1" applyFill="1" applyBorder="1" applyAlignment="1">
      <alignment horizontal="center"/>
    </xf>
    <xf numFmtId="0" fontId="70" fillId="28" borderId="14" xfId="0" applyFont="1" applyFill="1" applyBorder="1" applyAlignment="1">
      <alignment horizontal="center"/>
    </xf>
    <xf numFmtId="0" fontId="133" fillId="0" borderId="2" xfId="0" applyFont="1" applyBorder="1" applyAlignment="1">
      <alignment horizontal="center" wrapText="1" readingOrder="1"/>
    </xf>
    <xf numFmtId="0" fontId="134" fillId="12" borderId="2" xfId="0" applyFont="1" applyFill="1" applyBorder="1" applyAlignment="1">
      <alignment horizontal="center" wrapText="1" readingOrder="1"/>
    </xf>
    <xf numFmtId="0" fontId="133" fillId="26" borderId="2" xfId="0" applyFont="1" applyFill="1" applyBorder="1" applyAlignment="1">
      <alignment horizontal="center" wrapText="1" readingOrder="1"/>
    </xf>
    <xf numFmtId="0" fontId="135" fillId="0" borderId="2" xfId="0" applyFont="1" applyBorder="1" applyAlignment="1">
      <alignment horizontal="center" wrapText="1" readingOrder="1"/>
    </xf>
    <xf numFmtId="0" fontId="136" fillId="27" borderId="2" xfId="0" applyFont="1" applyFill="1" applyBorder="1" applyAlignment="1">
      <alignment horizontal="center" wrapText="1" readingOrder="1"/>
    </xf>
    <xf numFmtId="0" fontId="133" fillId="10" borderId="2" xfId="0" applyFont="1" applyFill="1" applyBorder="1" applyAlignment="1">
      <alignment horizontal="center" wrapText="1" readingOrder="1"/>
    </xf>
    <xf numFmtId="164" fontId="55" fillId="0" borderId="0" xfId="0" applyNumberFormat="1" applyFont="1"/>
    <xf numFmtId="166" fontId="23" fillId="0" borderId="0" xfId="0" applyNumberFormat="1" applyFont="1"/>
    <xf numFmtId="165" fontId="68" fillId="0" borderId="2" xfId="0" applyNumberFormat="1" applyFont="1" applyBorder="1" applyAlignment="1">
      <alignment horizontal="center"/>
    </xf>
    <xf numFmtId="0" fontId="55" fillId="7" borderId="0" xfId="0" applyFont="1" applyFill="1"/>
    <xf numFmtId="0" fontId="42" fillId="0" borderId="0" xfId="0" applyFont="1" applyAlignment="1">
      <alignment horizontal="center"/>
    </xf>
    <xf numFmtId="0" fontId="122" fillId="16" borderId="2" xfId="0" applyFont="1" applyFill="1" applyBorder="1" applyAlignment="1">
      <alignment horizontal="center"/>
    </xf>
    <xf numFmtId="1" fontId="122" fillId="16" borderId="2" xfId="0" applyNumberFormat="1" applyFont="1" applyFill="1" applyBorder="1" applyAlignment="1">
      <alignment horizontal="center"/>
    </xf>
    <xf numFmtId="164" fontId="44" fillId="15" borderId="2" xfId="0" applyNumberFormat="1" applyFont="1" applyFill="1" applyBorder="1" applyAlignment="1">
      <alignment horizontal="center"/>
    </xf>
    <xf numFmtId="2" fontId="8" fillId="0" borderId="0" xfId="0" applyNumberFormat="1" applyFont="1"/>
    <xf numFmtId="1" fontId="55" fillId="0" borderId="0" xfId="0" applyNumberFormat="1" applyFont="1"/>
    <xf numFmtId="0" fontId="56" fillId="14" borderId="0" xfId="0" applyFont="1" applyFill="1" applyAlignment="1">
      <alignment horizontal="center"/>
    </xf>
    <xf numFmtId="0" fontId="122" fillId="13" borderId="15" xfId="0" applyFont="1" applyFill="1" applyBorder="1" applyAlignment="1">
      <alignment horizontal="center"/>
    </xf>
    <xf numFmtId="0" fontId="122" fillId="13" borderId="16" xfId="0" applyFont="1" applyFill="1" applyBorder="1" applyAlignment="1">
      <alignment horizontal="center"/>
    </xf>
    <xf numFmtId="0" fontId="122" fillId="13" borderId="17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6">
    <cellStyle name="Ausgabe" xfId="5" builtinId="21"/>
    <cellStyle name="Eingabe" xfId="3" builtinId="20"/>
    <cellStyle name="Gut" xfId="1" builtinId="26"/>
    <cellStyle name="Neutral" xfId="4" builtinId="28"/>
    <cellStyle name="Schlecht" xfId="2" builtinId="27"/>
    <cellStyle name="Standard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FF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ellenformat 1" pivot="0" count="1" xr9:uid="{157BA1B6-7690-4FF7-877B-A102FE3DAC12}">
      <tableStyleElement type="headerRow" dxfId="14"/>
    </tableStyle>
  </tableStyles>
  <colors>
    <mruColors>
      <color rgb="FFF9FD69"/>
      <color rgb="FFFF66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ANALIZ%2015.09.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usetze opt 80,3 (2)"/>
      <sheetName val="TADI-Catpovic6"/>
      <sheetName val="OK OK"/>
      <sheetName val="opt 80,63 G_A"/>
      <sheetName val="Tab1EQ 80,632"/>
      <sheetName val="TIG.EQ_At_G_80,63"/>
      <sheetName val="80,63 G_A Polni Sos"/>
      <sheetName val="Tab1EQ 80,631"/>
      <sheetName val="TIG.EQ_At_G_80,63 (2)"/>
      <sheetName val="TEOR.EQ_A_G_80,63"/>
      <sheetName val="Zusetze opt 80,3"/>
      <sheetName val="Zusetze opt 3"/>
      <sheetName val="Zusetze opt 4"/>
      <sheetName val="Zusetze opt 5"/>
      <sheetName val="Zusetze opt 6"/>
      <sheetName val="Zusetze opt 7"/>
      <sheetName val="Zusetze opt 8"/>
      <sheetName val="Zusetze opt 9"/>
      <sheetName val="Zusetze opt 10"/>
      <sheetName val="Zusetze opt 11"/>
      <sheetName val="Zusetze opt 12"/>
      <sheetName val="Zusetze opt 13"/>
      <sheetName val="Tab1EQ 80,3"/>
      <sheetName val="Tab1EQ 3"/>
      <sheetName val="Tab1EQ 4"/>
      <sheetName val="Tab1EQ 5"/>
      <sheetName val="Tab1EQ 6"/>
      <sheetName val="Tab1EQ 7"/>
      <sheetName val="Tab1EQ 8"/>
      <sheetName val="Tab1EQ 9"/>
      <sheetName val="Tab1EQ 10"/>
      <sheetName val="Tab1EQ 11"/>
      <sheetName val="Tab1EQ 12"/>
      <sheetName val="Tab1EQ 13"/>
      <sheetName val="TIG.EQ_At_G_80,3"/>
      <sheetName val="TIG.EQ_At_G_3"/>
      <sheetName val="TIG.EQ_At_G_4"/>
      <sheetName val="TIG.EQ_At_G_5"/>
      <sheetName val="TIG.EQ_At_G_6"/>
      <sheetName val="TEOR.EQ_A_G_80,3"/>
      <sheetName val="TEOR.EQ_A_G_3"/>
      <sheetName val="TEOR.EQ_A_G_4"/>
      <sheetName val="TEOR.EQ_A_G_5"/>
      <sheetName val="TEOR.EQ_A_G_6"/>
      <sheetName val="TEOR.EQ_A_G_7"/>
      <sheetName val="TEOR.EQ_A_G_8"/>
      <sheetName val="TEOR.EQ_A_G_9"/>
      <sheetName val="TEOR.EQ_A_G_10"/>
      <sheetName val="TEOR.EQ_A_G_11"/>
      <sheetName val="TEOR.EQ_A_G_12"/>
      <sheetName val="TEOR.EQ_A_G_13"/>
      <sheetName val="GJS400_18 EQ 80,63"/>
      <sheetName val="GJS400_18 EQ 80,3"/>
      <sheetName val="GJS400_18 EQ 79,96"/>
      <sheetName val="GJS400_18 EQ 4"/>
      <sheetName val="GJS400_18 EQ 5"/>
      <sheetName val="GJS400_18 EQ 6"/>
      <sheetName val="GJS400_18 EQ 7"/>
      <sheetName val="GJS400_18 EQ 8"/>
      <sheetName val="GJS400_18 EQ 9"/>
      <sheetName val="GJS400_18 EQ 10"/>
      <sheetName val="GJS400_18 EQ 11"/>
      <sheetName val="GJS400_18 EQ 12"/>
      <sheetName val="GJS400_18 EQ 13"/>
      <sheetName val="GJS400_18"/>
      <sheetName val="ADI EQi (3)"/>
      <sheetName val="Tab1 OPT Raszet. s"/>
      <sheetName val="OPT.EQIWALENT_A_G (2)"/>
      <sheetName val="Tabelle1"/>
      <sheetName val="Tabelle4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G6">
            <v>1.028896996781455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07C64-0D26-4CE4-B3EC-6821580A9D1D}">
  <dimension ref="A1:BB328"/>
  <sheetViews>
    <sheetView workbookViewId="0">
      <selection activeCell="B4" sqref="B4:Z11"/>
    </sheetView>
  </sheetViews>
  <sheetFormatPr baseColWidth="10" defaultRowHeight="15" x14ac:dyDescent="0.25"/>
  <cols>
    <col min="1" max="1" width="24.85546875" customWidth="1"/>
    <col min="3" max="3" width="12.140625" customWidth="1"/>
    <col min="4" max="4" width="10.85546875" customWidth="1"/>
    <col min="5" max="5" width="7.85546875" customWidth="1"/>
    <col min="6" max="6" width="6.28515625" customWidth="1"/>
    <col min="7" max="7" width="7.42578125" customWidth="1"/>
    <col min="8" max="8" width="5.5703125" customWidth="1"/>
    <col min="9" max="9" width="7.5703125" customWidth="1"/>
    <col min="10" max="10" width="7" customWidth="1"/>
    <col min="41" max="41" width="16.7109375" customWidth="1"/>
  </cols>
  <sheetData>
    <row r="1" spans="1:54" ht="21" x14ac:dyDescent="0.35">
      <c r="A1" s="89"/>
      <c r="B1" s="89"/>
      <c r="C1" s="89">
        <v>1</v>
      </c>
      <c r="D1" s="89"/>
      <c r="E1" s="89"/>
      <c r="F1" s="89"/>
      <c r="G1" s="89"/>
      <c r="H1" s="89"/>
      <c r="I1" s="89"/>
      <c r="J1" s="89"/>
      <c r="K1" s="89">
        <v>4.5</v>
      </c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</row>
    <row r="2" spans="1:54" ht="21" x14ac:dyDescent="0.35">
      <c r="A2" s="89"/>
      <c r="B2" s="89">
        <f>'opt 1'!A3</f>
        <v>92.840162287943627</v>
      </c>
      <c r="C2" s="194">
        <f>C1*100/599</f>
        <v>0.1669449081803005</v>
      </c>
      <c r="D2" s="89"/>
      <c r="E2" s="89"/>
      <c r="F2" s="89"/>
      <c r="G2" s="89"/>
      <c r="H2" s="89"/>
      <c r="I2" s="89"/>
      <c r="J2" s="89"/>
      <c r="K2" s="194">
        <f>K1*100/599</f>
        <v>0.75125208681135225</v>
      </c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</row>
    <row r="3" spans="1:54" ht="21" x14ac:dyDescent="0.35">
      <c r="A3" s="89"/>
      <c r="B3" s="197" t="s">
        <v>14</v>
      </c>
      <c r="C3" s="197" t="s">
        <v>15</v>
      </c>
      <c r="D3" s="197" t="s">
        <v>8</v>
      </c>
      <c r="E3" s="197" t="s">
        <v>9</v>
      </c>
      <c r="F3" s="197" t="s">
        <v>234</v>
      </c>
      <c r="G3" s="197" t="s">
        <v>56</v>
      </c>
      <c r="H3" s="197" t="s">
        <v>57</v>
      </c>
      <c r="I3" s="197" t="s">
        <v>58</v>
      </c>
      <c r="J3" s="197" t="s">
        <v>77</v>
      </c>
      <c r="K3" s="197" t="s">
        <v>204</v>
      </c>
      <c r="L3" s="197" t="s">
        <v>16</v>
      </c>
      <c r="M3" s="197" t="s">
        <v>12</v>
      </c>
      <c r="N3" s="197" t="s">
        <v>44</v>
      </c>
      <c r="O3" s="197" t="s">
        <v>55</v>
      </c>
      <c r="P3" s="197" t="s">
        <v>17</v>
      </c>
      <c r="Q3" s="197" t="s">
        <v>80</v>
      </c>
      <c r="R3" s="197" t="s">
        <v>81</v>
      </c>
      <c r="S3" s="197" t="s">
        <v>82</v>
      </c>
      <c r="T3" s="197" t="s">
        <v>83</v>
      </c>
      <c r="U3" s="197" t="s">
        <v>45</v>
      </c>
      <c r="V3" s="197" t="s">
        <v>43</v>
      </c>
      <c r="W3" s="197" t="s">
        <v>13</v>
      </c>
      <c r="X3" s="197" t="s">
        <v>0</v>
      </c>
      <c r="Y3" s="197" t="s">
        <v>11</v>
      </c>
      <c r="Z3" s="197" t="s">
        <v>10</v>
      </c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</row>
    <row r="4" spans="1:54" ht="21" x14ac:dyDescent="0.35">
      <c r="A4" s="89" t="s">
        <v>228</v>
      </c>
      <c r="B4" s="139">
        <f>100-(SUM(C4:Z4))</f>
        <v>81.664440734557601</v>
      </c>
      <c r="C4" s="89">
        <v>0.333889816360601</v>
      </c>
      <c r="D4" s="89">
        <v>0.1669449081803005</v>
      </c>
      <c r="E4" s="89">
        <v>1</v>
      </c>
      <c r="F4" s="89">
        <v>1</v>
      </c>
      <c r="G4" s="89">
        <v>1</v>
      </c>
      <c r="H4" s="89">
        <v>1</v>
      </c>
      <c r="I4" s="89">
        <v>1</v>
      </c>
      <c r="J4" s="89">
        <v>1</v>
      </c>
      <c r="K4" s="89">
        <v>0.333889816360601</v>
      </c>
      <c r="L4" s="89">
        <v>1</v>
      </c>
      <c r="M4" s="89">
        <v>1</v>
      </c>
      <c r="N4" s="89">
        <v>1</v>
      </c>
      <c r="O4" s="177">
        <v>0.1669449081803005</v>
      </c>
      <c r="P4" s="89">
        <v>1</v>
      </c>
      <c r="Q4" s="177">
        <v>0.1669449081803005</v>
      </c>
      <c r="R4" s="89">
        <v>1</v>
      </c>
      <c r="S4" s="89">
        <v>1</v>
      </c>
      <c r="T4" s="89">
        <v>1</v>
      </c>
      <c r="U4" s="177">
        <v>0.1669449081803005</v>
      </c>
      <c r="V4" s="89">
        <v>1</v>
      </c>
      <c r="W4" s="89">
        <v>1</v>
      </c>
      <c r="X4" s="89">
        <v>1</v>
      </c>
      <c r="Y4" s="89">
        <v>1</v>
      </c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</row>
    <row r="5" spans="1:54" ht="21" x14ac:dyDescent="0.35">
      <c r="A5" s="89" t="s">
        <v>227</v>
      </c>
      <c r="B5" s="139">
        <f t="shared" ref="B5:B16" si="0">100-(SUM(C5:Z5))</f>
        <v>63.996661101836395</v>
      </c>
      <c r="C5" s="89">
        <v>0.333889816360601</v>
      </c>
      <c r="D5" s="89">
        <v>0.333889816360601</v>
      </c>
      <c r="E5" s="89">
        <v>2</v>
      </c>
      <c r="F5" s="89">
        <v>2</v>
      </c>
      <c r="G5" s="89">
        <v>2</v>
      </c>
      <c r="H5" s="89">
        <v>2</v>
      </c>
      <c r="I5" s="89">
        <v>2</v>
      </c>
      <c r="J5" s="89">
        <v>2</v>
      </c>
      <c r="K5" s="89">
        <v>0.333889816360601</v>
      </c>
      <c r="L5" s="89">
        <v>2</v>
      </c>
      <c r="M5" s="89">
        <v>2</v>
      </c>
      <c r="N5" s="89">
        <v>2</v>
      </c>
      <c r="O5" s="89">
        <v>0.333889816360601</v>
      </c>
      <c r="P5" s="89">
        <v>2</v>
      </c>
      <c r="Q5" s="89">
        <v>0.333889816360601</v>
      </c>
      <c r="R5" s="89">
        <v>2</v>
      </c>
      <c r="S5" s="89">
        <v>2</v>
      </c>
      <c r="T5" s="89">
        <v>2</v>
      </c>
      <c r="U5" s="89">
        <v>0.333889816360601</v>
      </c>
      <c r="V5" s="89">
        <v>2</v>
      </c>
      <c r="W5" s="89">
        <v>2</v>
      </c>
      <c r="X5" s="89">
        <v>2</v>
      </c>
      <c r="Y5" s="89">
        <v>2</v>
      </c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</row>
    <row r="6" spans="1:54" ht="21" x14ac:dyDescent="0.35">
      <c r="A6" s="89" t="s">
        <v>226</v>
      </c>
      <c r="B6" s="139">
        <f t="shared" si="0"/>
        <v>46.328881469115188</v>
      </c>
      <c r="C6" s="89">
        <v>0.333889816360601</v>
      </c>
      <c r="D6" s="89">
        <v>0.5008347245409015</v>
      </c>
      <c r="E6" s="89">
        <v>3</v>
      </c>
      <c r="F6" s="89">
        <v>3</v>
      </c>
      <c r="G6" s="89">
        <v>3</v>
      </c>
      <c r="H6" s="89">
        <v>3</v>
      </c>
      <c r="I6" s="89">
        <v>3</v>
      </c>
      <c r="J6" s="89">
        <v>3</v>
      </c>
      <c r="K6" s="89">
        <v>0.333889816360601</v>
      </c>
      <c r="L6" s="89">
        <v>3</v>
      </c>
      <c r="M6" s="89">
        <v>3</v>
      </c>
      <c r="N6" s="89">
        <v>3</v>
      </c>
      <c r="O6" s="89">
        <v>0.5008347245409015</v>
      </c>
      <c r="P6" s="89">
        <v>3</v>
      </c>
      <c r="Q6" s="89">
        <v>0.5008347245409015</v>
      </c>
      <c r="R6" s="89">
        <v>3</v>
      </c>
      <c r="S6" s="89">
        <v>3</v>
      </c>
      <c r="T6" s="89">
        <v>3</v>
      </c>
      <c r="U6" s="89">
        <v>0.5008347245409015</v>
      </c>
      <c r="V6" s="89">
        <v>3</v>
      </c>
      <c r="W6" s="89">
        <v>3</v>
      </c>
      <c r="X6" s="89">
        <v>3</v>
      </c>
      <c r="Y6" s="89">
        <v>3</v>
      </c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</row>
    <row r="7" spans="1:54" ht="21" x14ac:dyDescent="0.35">
      <c r="A7" s="89" t="s">
        <v>225</v>
      </c>
      <c r="B7" s="139">
        <f t="shared" si="0"/>
        <v>28.66110183639401</v>
      </c>
      <c r="C7" s="89">
        <v>0.333889816360601</v>
      </c>
      <c r="D7" s="177">
        <v>0.667779632721202</v>
      </c>
      <c r="E7" s="177">
        <v>4</v>
      </c>
      <c r="F7" s="177">
        <v>4</v>
      </c>
      <c r="G7" s="177">
        <v>4</v>
      </c>
      <c r="H7" s="177">
        <v>4</v>
      </c>
      <c r="I7" s="177">
        <v>4</v>
      </c>
      <c r="J7" s="177">
        <v>4</v>
      </c>
      <c r="K7" s="177">
        <v>0.333889816360601</v>
      </c>
      <c r="L7" s="177">
        <v>4</v>
      </c>
      <c r="M7" s="177">
        <v>4</v>
      </c>
      <c r="N7" s="177">
        <v>4</v>
      </c>
      <c r="O7" s="89">
        <v>0.667779632721202</v>
      </c>
      <c r="P7" s="177">
        <v>4</v>
      </c>
      <c r="Q7" s="89">
        <v>0.667779632721202</v>
      </c>
      <c r="R7" s="177">
        <v>4</v>
      </c>
      <c r="S7" s="177">
        <v>4</v>
      </c>
      <c r="T7" s="177">
        <v>4</v>
      </c>
      <c r="U7" s="89">
        <v>0.667779632721202</v>
      </c>
      <c r="V7" s="177">
        <v>4</v>
      </c>
      <c r="W7" s="177">
        <v>4</v>
      </c>
      <c r="X7" s="177">
        <v>4</v>
      </c>
      <c r="Y7" s="177">
        <v>4</v>
      </c>
      <c r="Z7" s="177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</row>
    <row r="8" spans="1:54" ht="21" x14ac:dyDescent="0.35">
      <c r="A8" s="89" t="s">
        <v>224</v>
      </c>
      <c r="B8" s="139">
        <f t="shared" si="0"/>
        <v>10.909849749582634</v>
      </c>
      <c r="C8" s="89">
        <v>0.41736227045075125</v>
      </c>
      <c r="D8" s="177">
        <v>0.8347245409015025</v>
      </c>
      <c r="E8" s="177">
        <v>5</v>
      </c>
      <c r="F8" s="177">
        <v>5</v>
      </c>
      <c r="G8" s="177">
        <v>5</v>
      </c>
      <c r="H8" s="177">
        <v>5</v>
      </c>
      <c r="I8" s="177">
        <v>5</v>
      </c>
      <c r="J8" s="177">
        <v>5</v>
      </c>
      <c r="K8" s="177">
        <v>0.333889816360601</v>
      </c>
      <c r="L8" s="177">
        <v>5</v>
      </c>
      <c r="M8" s="177">
        <v>5</v>
      </c>
      <c r="N8" s="177">
        <v>5</v>
      </c>
      <c r="O8" s="89">
        <v>0.8347245409015025</v>
      </c>
      <c r="P8" s="177">
        <v>5</v>
      </c>
      <c r="Q8" s="89">
        <v>0.8347245409015025</v>
      </c>
      <c r="R8" s="177">
        <v>5</v>
      </c>
      <c r="S8" s="177">
        <v>5</v>
      </c>
      <c r="T8" s="177">
        <v>5</v>
      </c>
      <c r="U8" s="89">
        <v>0.8347245409015025</v>
      </c>
      <c r="V8" s="177">
        <v>5</v>
      </c>
      <c r="W8" s="177">
        <v>5</v>
      </c>
      <c r="X8" s="177">
        <v>5</v>
      </c>
      <c r="Y8" s="177">
        <v>5</v>
      </c>
      <c r="Z8" s="177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</row>
    <row r="9" spans="1:54" ht="21" x14ac:dyDescent="0.35">
      <c r="A9" s="89" t="s">
        <v>223</v>
      </c>
      <c r="B9" s="139">
        <f t="shared" si="0"/>
        <v>-6.8414023372287147</v>
      </c>
      <c r="C9" s="89">
        <v>0.5008347245409015</v>
      </c>
      <c r="D9" s="177">
        <v>1.001669449081803</v>
      </c>
      <c r="E9" s="177">
        <v>6</v>
      </c>
      <c r="F9" s="177">
        <v>6</v>
      </c>
      <c r="G9" s="177">
        <v>6</v>
      </c>
      <c r="H9" s="177">
        <v>6</v>
      </c>
      <c r="I9" s="177">
        <v>6</v>
      </c>
      <c r="J9" s="177">
        <v>6</v>
      </c>
      <c r="K9" s="177">
        <v>0.333889816360601</v>
      </c>
      <c r="L9" s="177">
        <v>6</v>
      </c>
      <c r="M9" s="177">
        <v>6</v>
      </c>
      <c r="N9" s="177">
        <v>6</v>
      </c>
      <c r="O9" s="89">
        <v>1.001669449081803</v>
      </c>
      <c r="P9" s="177">
        <v>6</v>
      </c>
      <c r="Q9" s="89">
        <v>1.001669449081803</v>
      </c>
      <c r="R9" s="177">
        <v>6</v>
      </c>
      <c r="S9" s="177">
        <v>6</v>
      </c>
      <c r="T9" s="177">
        <v>6</v>
      </c>
      <c r="U9" s="89">
        <v>1.001669449081803</v>
      </c>
      <c r="V9" s="177">
        <v>6</v>
      </c>
      <c r="W9" s="177">
        <v>6</v>
      </c>
      <c r="X9" s="177">
        <v>6</v>
      </c>
      <c r="Y9" s="177">
        <v>6</v>
      </c>
      <c r="Z9" s="177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</row>
    <row r="10" spans="1:54" ht="21" x14ac:dyDescent="0.35">
      <c r="A10" s="89" t="s">
        <v>222</v>
      </c>
      <c r="B10" s="139">
        <f t="shared" si="0"/>
        <v>-24.509181969949907</v>
      </c>
      <c r="C10" s="89">
        <v>0.5008347245409015</v>
      </c>
      <c r="D10" s="89">
        <v>1.1686143572621035</v>
      </c>
      <c r="E10" s="89">
        <v>7</v>
      </c>
      <c r="F10" s="89">
        <v>7</v>
      </c>
      <c r="G10" s="89">
        <v>7</v>
      </c>
      <c r="H10" s="89">
        <v>7</v>
      </c>
      <c r="I10" s="89">
        <v>7</v>
      </c>
      <c r="J10" s="89">
        <v>7</v>
      </c>
      <c r="K10" s="89">
        <v>0.333889816360601</v>
      </c>
      <c r="L10" s="89">
        <v>7</v>
      </c>
      <c r="M10" s="89">
        <v>7</v>
      </c>
      <c r="N10" s="89">
        <v>7</v>
      </c>
      <c r="O10" s="89">
        <v>1.1686143572621035</v>
      </c>
      <c r="P10" s="89">
        <v>7</v>
      </c>
      <c r="Q10" s="89">
        <v>1.1686143572621035</v>
      </c>
      <c r="R10" s="89">
        <v>7</v>
      </c>
      <c r="S10" s="89">
        <v>7</v>
      </c>
      <c r="T10" s="89">
        <v>7</v>
      </c>
      <c r="U10" s="89">
        <v>1.1686143572621035</v>
      </c>
      <c r="V10" s="89">
        <v>7</v>
      </c>
      <c r="W10" s="89">
        <v>7</v>
      </c>
      <c r="X10" s="89">
        <v>7</v>
      </c>
      <c r="Y10" s="89">
        <v>7</v>
      </c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</row>
    <row r="11" spans="1:54" ht="21" x14ac:dyDescent="0.35">
      <c r="A11" s="89" t="s">
        <v>221</v>
      </c>
      <c r="B11" s="139">
        <f t="shared" si="0"/>
        <v>-42.176961602671099</v>
      </c>
      <c r="C11" s="89">
        <v>0.5008347245409015</v>
      </c>
      <c r="D11" s="89">
        <v>1.335559265442404</v>
      </c>
      <c r="E11" s="89">
        <v>8</v>
      </c>
      <c r="F11" s="89">
        <v>8</v>
      </c>
      <c r="G11" s="89">
        <v>8</v>
      </c>
      <c r="H11" s="89">
        <v>8</v>
      </c>
      <c r="I11" s="89">
        <v>8</v>
      </c>
      <c r="J11" s="89">
        <v>8</v>
      </c>
      <c r="K11" s="89">
        <v>0.333889816360601</v>
      </c>
      <c r="L11" s="89">
        <v>8</v>
      </c>
      <c r="M11" s="89">
        <v>8</v>
      </c>
      <c r="N11" s="89">
        <v>8</v>
      </c>
      <c r="O11" s="89">
        <v>1.335559265442404</v>
      </c>
      <c r="P11" s="89">
        <v>8</v>
      </c>
      <c r="Q11" s="89">
        <v>1.335559265442404</v>
      </c>
      <c r="R11" s="89">
        <v>8</v>
      </c>
      <c r="S11" s="89">
        <v>8</v>
      </c>
      <c r="T11" s="89">
        <v>8</v>
      </c>
      <c r="U11" s="89">
        <v>1.335559265442404</v>
      </c>
      <c r="V11" s="89">
        <v>8</v>
      </c>
      <c r="W11" s="89">
        <v>8</v>
      </c>
      <c r="X11" s="89">
        <v>8</v>
      </c>
      <c r="Y11" s="89">
        <v>8</v>
      </c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</row>
    <row r="12" spans="1:54" ht="21" x14ac:dyDescent="0.35">
      <c r="A12" s="89" t="s">
        <v>220</v>
      </c>
      <c r="B12" s="139">
        <f t="shared" si="0"/>
        <v>-59.928213689482504</v>
      </c>
      <c r="C12" s="89">
        <v>0.58430717863105175</v>
      </c>
      <c r="D12" s="89">
        <v>1.5025041736227045</v>
      </c>
      <c r="E12" s="89">
        <v>9</v>
      </c>
      <c r="F12" s="89">
        <v>9</v>
      </c>
      <c r="G12" s="89">
        <v>9</v>
      </c>
      <c r="H12" s="89">
        <v>9</v>
      </c>
      <c r="I12" s="89">
        <v>9</v>
      </c>
      <c r="J12" s="89">
        <v>9</v>
      </c>
      <c r="K12" s="89">
        <v>0.333889816360601</v>
      </c>
      <c r="L12" s="89">
        <v>9</v>
      </c>
      <c r="M12" s="89">
        <v>9</v>
      </c>
      <c r="N12" s="89">
        <v>9</v>
      </c>
      <c r="O12" s="89">
        <v>1.5025041736227045</v>
      </c>
      <c r="P12" s="89">
        <v>9</v>
      </c>
      <c r="Q12" s="89">
        <v>1.5025041736227045</v>
      </c>
      <c r="R12" s="89">
        <v>9</v>
      </c>
      <c r="S12" s="89">
        <v>9</v>
      </c>
      <c r="T12" s="89">
        <v>9</v>
      </c>
      <c r="U12" s="89">
        <v>1.5025041736227045</v>
      </c>
      <c r="V12" s="89">
        <v>9</v>
      </c>
      <c r="W12" s="89">
        <v>9</v>
      </c>
      <c r="X12" s="89">
        <v>9</v>
      </c>
      <c r="Y12" s="89">
        <v>9</v>
      </c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</row>
    <row r="13" spans="1:54" ht="21" x14ac:dyDescent="0.35">
      <c r="A13" s="89" t="s">
        <v>229</v>
      </c>
      <c r="B13" s="139">
        <f t="shared" si="0"/>
        <v>-77.679465776293853</v>
      </c>
      <c r="C13" s="89">
        <v>0.667779632721202</v>
      </c>
      <c r="D13" s="89">
        <v>1.669449081803005</v>
      </c>
      <c r="E13" s="89">
        <v>10</v>
      </c>
      <c r="F13" s="89">
        <v>10</v>
      </c>
      <c r="G13" s="89">
        <v>10</v>
      </c>
      <c r="H13" s="89">
        <v>10</v>
      </c>
      <c r="I13" s="89">
        <v>10</v>
      </c>
      <c r="J13" s="89">
        <v>10</v>
      </c>
      <c r="K13" s="89">
        <v>0.333889816360601</v>
      </c>
      <c r="L13" s="89">
        <v>10</v>
      </c>
      <c r="M13" s="89">
        <v>10</v>
      </c>
      <c r="N13" s="89">
        <v>10</v>
      </c>
      <c r="O13" s="89">
        <v>1.669449081803005</v>
      </c>
      <c r="P13" s="89">
        <v>10</v>
      </c>
      <c r="Q13" s="89">
        <v>1.669449081803005</v>
      </c>
      <c r="R13" s="89">
        <v>10</v>
      </c>
      <c r="S13" s="89">
        <v>10</v>
      </c>
      <c r="T13" s="89">
        <v>10</v>
      </c>
      <c r="U13" s="89">
        <v>1.669449081803005</v>
      </c>
      <c r="V13" s="89">
        <v>10</v>
      </c>
      <c r="W13" s="89">
        <v>10</v>
      </c>
      <c r="X13" s="89">
        <v>10</v>
      </c>
      <c r="Y13" s="89">
        <v>10</v>
      </c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</row>
    <row r="14" spans="1:54" ht="21" x14ac:dyDescent="0.35">
      <c r="A14" s="89" t="s">
        <v>230</v>
      </c>
      <c r="B14" s="139">
        <f t="shared" si="0"/>
        <v>-95.347245409015017</v>
      </c>
      <c r="C14" s="89">
        <v>0.667779632721202</v>
      </c>
      <c r="D14" s="89">
        <v>1.8363939899833055</v>
      </c>
      <c r="E14" s="89">
        <v>11</v>
      </c>
      <c r="F14" s="89">
        <v>11</v>
      </c>
      <c r="G14" s="89">
        <v>11</v>
      </c>
      <c r="H14" s="89">
        <v>11</v>
      </c>
      <c r="I14" s="89">
        <v>11</v>
      </c>
      <c r="J14" s="89">
        <v>11</v>
      </c>
      <c r="K14" s="89">
        <v>0.333889816360601</v>
      </c>
      <c r="L14" s="89">
        <v>11</v>
      </c>
      <c r="M14" s="89">
        <v>11</v>
      </c>
      <c r="N14" s="89">
        <v>11</v>
      </c>
      <c r="O14" s="89">
        <v>1.8363939899833055</v>
      </c>
      <c r="P14" s="89">
        <v>11</v>
      </c>
      <c r="Q14" s="89">
        <v>1.8363939899833055</v>
      </c>
      <c r="R14" s="89">
        <v>11</v>
      </c>
      <c r="S14" s="89">
        <v>11</v>
      </c>
      <c r="T14" s="89">
        <v>11</v>
      </c>
      <c r="U14" s="89">
        <v>1.8363939899833055</v>
      </c>
      <c r="V14" s="89">
        <v>11</v>
      </c>
      <c r="W14" s="89">
        <v>11</v>
      </c>
      <c r="X14" s="89">
        <v>11</v>
      </c>
      <c r="Y14" s="89">
        <v>11</v>
      </c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</row>
    <row r="15" spans="1:54" ht="21" x14ac:dyDescent="0.35">
      <c r="A15" s="89" t="s">
        <v>231</v>
      </c>
      <c r="B15" s="139">
        <f t="shared" si="0"/>
        <v>-113.01502504173621</v>
      </c>
      <c r="C15" s="89">
        <v>0.667779632721202</v>
      </c>
      <c r="D15" s="89">
        <v>2.003338898163606</v>
      </c>
      <c r="E15" s="89">
        <v>12</v>
      </c>
      <c r="F15" s="89">
        <v>12</v>
      </c>
      <c r="G15" s="89">
        <v>12</v>
      </c>
      <c r="H15" s="89">
        <v>12</v>
      </c>
      <c r="I15" s="89">
        <v>12</v>
      </c>
      <c r="J15" s="89">
        <v>12</v>
      </c>
      <c r="K15" s="89">
        <v>0.333889816360601</v>
      </c>
      <c r="L15" s="89">
        <v>12</v>
      </c>
      <c r="M15" s="89">
        <v>12</v>
      </c>
      <c r="N15" s="89">
        <v>12</v>
      </c>
      <c r="O15" s="89">
        <v>2.003338898163606</v>
      </c>
      <c r="P15" s="89">
        <v>12</v>
      </c>
      <c r="Q15" s="89">
        <v>2.003338898163606</v>
      </c>
      <c r="R15" s="89">
        <v>12</v>
      </c>
      <c r="S15" s="89">
        <v>12</v>
      </c>
      <c r="T15" s="89">
        <v>12</v>
      </c>
      <c r="U15" s="89">
        <v>2.003338898163606</v>
      </c>
      <c r="V15" s="89">
        <v>12</v>
      </c>
      <c r="W15" s="89">
        <v>12</v>
      </c>
      <c r="X15" s="89">
        <v>12</v>
      </c>
      <c r="Y15" s="89">
        <v>12</v>
      </c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</row>
    <row r="16" spans="1:54" ht="21" x14ac:dyDescent="0.35">
      <c r="A16" s="89" t="s">
        <v>232</v>
      </c>
      <c r="B16" s="139">
        <f t="shared" si="0"/>
        <v>-130.68280467445743</v>
      </c>
      <c r="C16" s="89">
        <v>0.667779632721202</v>
      </c>
      <c r="D16" s="89">
        <v>2.1702838063439067</v>
      </c>
      <c r="E16" s="89">
        <v>13</v>
      </c>
      <c r="F16" s="89">
        <v>13</v>
      </c>
      <c r="G16" s="89">
        <v>13</v>
      </c>
      <c r="H16" s="89">
        <v>13</v>
      </c>
      <c r="I16" s="89">
        <v>13</v>
      </c>
      <c r="J16" s="89">
        <v>13</v>
      </c>
      <c r="K16" s="89">
        <v>0.333889816360601</v>
      </c>
      <c r="L16" s="89">
        <v>13</v>
      </c>
      <c r="M16" s="89">
        <v>13</v>
      </c>
      <c r="N16" s="89">
        <v>13</v>
      </c>
      <c r="O16" s="89">
        <v>2.1702838063439067</v>
      </c>
      <c r="P16" s="89">
        <v>13</v>
      </c>
      <c r="Q16" s="89">
        <v>2.1702838063439067</v>
      </c>
      <c r="R16" s="89">
        <v>13</v>
      </c>
      <c r="S16" s="89">
        <v>13</v>
      </c>
      <c r="T16" s="89">
        <v>13</v>
      </c>
      <c r="U16" s="89">
        <v>2.1702838063439067</v>
      </c>
      <c r="V16" s="89">
        <v>13</v>
      </c>
      <c r="W16" s="89">
        <v>13</v>
      </c>
      <c r="X16" s="89">
        <v>13</v>
      </c>
      <c r="Y16" s="89">
        <v>13</v>
      </c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</row>
    <row r="17" spans="1:54" ht="21" x14ac:dyDescent="0.35">
      <c r="A17" s="89"/>
      <c r="B17" s="89">
        <f>SUM(C17:Z17)</f>
        <v>4.6833299999999998</v>
      </c>
      <c r="C17" s="89">
        <v>1.62</v>
      </c>
      <c r="D17" s="89">
        <v>0.33333000000000002</v>
      </c>
      <c r="E17" s="89"/>
      <c r="F17" s="89"/>
      <c r="G17" s="89">
        <v>0.25</v>
      </c>
      <c r="H17" s="89">
        <v>0.25</v>
      </c>
      <c r="I17" s="89">
        <v>0.05</v>
      </c>
      <c r="J17" s="89"/>
      <c r="K17" s="89">
        <v>1.8</v>
      </c>
      <c r="L17" s="89"/>
      <c r="M17" s="89"/>
      <c r="N17" s="89"/>
      <c r="O17" s="89">
        <v>0.38</v>
      </c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</row>
    <row r="18" spans="1:54" ht="21" x14ac:dyDescent="0.35">
      <c r="A18" s="89"/>
      <c r="B18" s="197" t="s">
        <v>14</v>
      </c>
      <c r="C18" s="197" t="s">
        <v>56</v>
      </c>
      <c r="D18" s="197" t="s">
        <v>15</v>
      </c>
      <c r="E18" s="197" t="s">
        <v>8</v>
      </c>
      <c r="F18" s="197" t="s">
        <v>9</v>
      </c>
      <c r="G18" s="197" t="s">
        <v>57</v>
      </c>
      <c r="H18" s="197" t="s">
        <v>58</v>
      </c>
      <c r="I18" s="197" t="s">
        <v>77</v>
      </c>
      <c r="J18" s="197" t="s">
        <v>204</v>
      </c>
      <c r="K18" s="198" t="s">
        <v>16</v>
      </c>
      <c r="L18" s="197" t="s">
        <v>55</v>
      </c>
      <c r="M18" s="197" t="s">
        <v>44</v>
      </c>
      <c r="N18" s="197" t="s">
        <v>43</v>
      </c>
      <c r="O18" s="197" t="s">
        <v>12</v>
      </c>
      <c r="P18" s="197" t="s">
        <v>80</v>
      </c>
      <c r="Q18" s="197" t="s">
        <v>81</v>
      </c>
      <c r="R18" s="197" t="s">
        <v>82</v>
      </c>
      <c r="S18" s="197" t="s">
        <v>83</v>
      </c>
      <c r="T18" s="197" t="s">
        <v>45</v>
      </c>
      <c r="U18" s="197" t="s">
        <v>17</v>
      </c>
      <c r="V18" s="197" t="s">
        <v>204</v>
      </c>
      <c r="W18" s="197" t="s">
        <v>0</v>
      </c>
      <c r="X18" s="197" t="s">
        <v>11</v>
      </c>
      <c r="Y18" s="197" t="s">
        <v>10</v>
      </c>
      <c r="Z18" s="197" t="s">
        <v>46</v>
      </c>
      <c r="AA18" s="182" t="s">
        <v>14</v>
      </c>
      <c r="AB18" s="183" t="s">
        <v>56</v>
      </c>
      <c r="AC18" s="184" t="s">
        <v>15</v>
      </c>
      <c r="AD18" s="185" t="s">
        <v>8</v>
      </c>
      <c r="AE18" s="184" t="s">
        <v>9</v>
      </c>
      <c r="AF18" s="184" t="s">
        <v>57</v>
      </c>
      <c r="AG18" s="185" t="s">
        <v>58</v>
      </c>
      <c r="AH18" s="184" t="s">
        <v>77</v>
      </c>
      <c r="AI18" s="186" t="s">
        <v>204</v>
      </c>
      <c r="AJ18" s="187" t="s">
        <v>16</v>
      </c>
      <c r="AK18" s="187" t="s">
        <v>55</v>
      </c>
      <c r="AL18" s="188" t="s">
        <v>44</v>
      </c>
      <c r="AM18" s="188" t="s">
        <v>10</v>
      </c>
      <c r="AN18" s="187" t="s">
        <v>12</v>
      </c>
      <c r="AO18" s="178" t="s">
        <v>80</v>
      </c>
      <c r="AP18" s="178" t="s">
        <v>81</v>
      </c>
      <c r="AQ18" s="178" t="s">
        <v>82</v>
      </c>
      <c r="AR18" s="178" t="s">
        <v>83</v>
      </c>
      <c r="AS18" s="178" t="s">
        <v>45</v>
      </c>
      <c r="AT18" s="178" t="s">
        <v>17</v>
      </c>
      <c r="AU18" s="186" t="s">
        <v>13</v>
      </c>
      <c r="AV18" s="178" t="s">
        <v>0</v>
      </c>
      <c r="AW18" s="178" t="s">
        <v>11</v>
      </c>
      <c r="AX18" s="178" t="s">
        <v>10</v>
      </c>
      <c r="AY18" s="178" t="s">
        <v>46</v>
      </c>
      <c r="AZ18" s="89"/>
      <c r="BA18" s="89"/>
      <c r="BB18" s="89"/>
    </row>
    <row r="19" spans="1:54" ht="21" x14ac:dyDescent="0.35">
      <c r="A19" s="89"/>
      <c r="B19" s="139">
        <f>100-C19-D19-E19-F19-G19-H19-I19-J19-K19-L19-M19-N19-O19-P19-Q19-R19-S19-T19-U19-V19-W19-X19-Y19-Z19</f>
        <v>99.533000000000015</v>
      </c>
      <c r="C19" s="177">
        <v>0.06</v>
      </c>
      <c r="D19" s="177">
        <v>0.03</v>
      </c>
      <c r="E19" s="177"/>
      <c r="F19" s="177"/>
      <c r="G19" s="177">
        <v>2.2499999999999999E-2</v>
      </c>
      <c r="H19" s="177">
        <v>2.2499999999999999E-2</v>
      </c>
      <c r="I19" s="177">
        <v>2E-3</v>
      </c>
      <c r="J19" s="177"/>
      <c r="K19" s="177">
        <v>0.3</v>
      </c>
      <c r="L19" s="177"/>
      <c r="M19" s="177"/>
      <c r="N19" s="177"/>
      <c r="O19" s="177">
        <v>0.03</v>
      </c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89">
        <v>55.84</v>
      </c>
      <c r="AB19" s="89">
        <v>12.01</v>
      </c>
      <c r="AC19" s="89">
        <v>28.0855</v>
      </c>
      <c r="AD19" s="89">
        <v>58.693399999999997</v>
      </c>
      <c r="AE19" s="89">
        <v>63.545999999999999</v>
      </c>
      <c r="AF19" s="89">
        <v>30.973762000000001</v>
      </c>
      <c r="AG19" s="89">
        <v>32.064999999999998</v>
      </c>
      <c r="AH19" s="89">
        <v>14.0067</v>
      </c>
      <c r="AI19" s="89">
        <v>10.81</v>
      </c>
      <c r="AJ19" s="89">
        <v>54.938043999999998</v>
      </c>
      <c r="AK19" s="89">
        <v>95.95</v>
      </c>
      <c r="AL19" s="89">
        <v>51.996099999999998</v>
      </c>
      <c r="AM19" s="89">
        <v>58.933194999999998</v>
      </c>
      <c r="AN19" s="89">
        <v>26.981539999999999</v>
      </c>
      <c r="AO19" s="89">
        <v>50.941499999999998</v>
      </c>
      <c r="AP19" s="89">
        <v>92.906369999999995</v>
      </c>
      <c r="AQ19" s="89">
        <v>183.84</v>
      </c>
      <c r="AR19" s="89">
        <v>180.94788</v>
      </c>
      <c r="AS19" s="89">
        <v>91.224000000000004</v>
      </c>
      <c r="AT19" s="89">
        <v>47.866999999999997</v>
      </c>
      <c r="AU19" s="89">
        <v>24.305</v>
      </c>
      <c r="AV19" s="89">
        <v>121.76</v>
      </c>
      <c r="AW19" s="89">
        <v>207.2</v>
      </c>
      <c r="AX19" s="89">
        <v>118.71</v>
      </c>
      <c r="AY19" s="89">
        <v>208.9804</v>
      </c>
      <c r="AZ19" s="89"/>
      <c r="BA19" s="89"/>
      <c r="BB19" s="89"/>
    </row>
    <row r="20" spans="1:54" ht="21" x14ac:dyDescent="0.35">
      <c r="A20" s="89"/>
      <c r="B20" s="139">
        <f>100*((((B19)/(AA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99.209234861680059</v>
      </c>
      <c r="C20" s="139">
        <f>100*((((C19)/(AB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0.2780600897285852</v>
      </c>
      <c r="D20" s="139">
        <f>100*((((D19)/(AC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5.9452416329428152E-2</v>
      </c>
      <c r="E20" s="139">
        <f>100*((((E19)/(AD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F20" s="139">
        <f>100*((((F19)/(AE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G20" s="139">
        <f>100*((((G19)/(AF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4.0431418344181624E-2</v>
      </c>
      <c r="H20" s="139">
        <f>100*((((H19)/(AG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3.9055453894124931E-2</v>
      </c>
      <c r="I20" s="139">
        <f>100*((((I19)/(AH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7.9473910762713762E-3</v>
      </c>
      <c r="J20" s="139">
        <f>100*((((J19)/(AI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K20" s="139">
        <f>100*((((K19)/(AJ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0.30393343432834163</v>
      </c>
      <c r="L20" s="139">
        <f>100*((((L19)/(AK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M20" s="139">
        <f>100*((((M19)/(AL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N20" s="139">
        <f>100*((((N19)/(AM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O20" s="139">
        <f>100*((((O19)/(AN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6.1884934619008201E-2</v>
      </c>
      <c r="P20" s="139">
        <f>100*((((P19)/(AO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Q20" s="139">
        <f>100*((((Q19)/(AP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R20" s="139">
        <f>100*((((R19)/(AQ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S20" s="139">
        <f>100*((((S19)/(AR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T20" s="139">
        <f>100*((((T19)/(AS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U20" s="139">
        <f>100*((((U19)/(AT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V20" s="139">
        <f>100*((((V19)/(AU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W20" s="139">
        <f>100*((((W19)/(AV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X20" s="89">
        <f>100*((((X19)/(AW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Y20" s="89">
        <f>100*((((Y19)/(AX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Z20" s="89">
        <f>100*((((Z19)/(AY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</row>
    <row r="21" spans="1:54" ht="21" x14ac:dyDescent="0.35">
      <c r="A21" s="89">
        <f>599-B21</f>
        <v>4.7366831785365093</v>
      </c>
      <c r="B21" s="89">
        <f>599*B20/100</f>
        <v>594.26331682146349</v>
      </c>
      <c r="C21" s="89">
        <f>599*C20/100</f>
        <v>1.6655799374742253</v>
      </c>
      <c r="D21" s="89">
        <f t="shared" ref="D21:Z21" si="1">599*D20/100</f>
        <v>0.35611997381327465</v>
      </c>
      <c r="E21" s="89">
        <f t="shared" si="1"/>
        <v>0</v>
      </c>
      <c r="F21" s="89">
        <f t="shared" si="1"/>
        <v>0</v>
      </c>
      <c r="G21" s="89">
        <f t="shared" si="1"/>
        <v>0.24218419588164791</v>
      </c>
      <c r="H21" s="89">
        <f t="shared" si="1"/>
        <v>0.23394216882580834</v>
      </c>
      <c r="I21" s="89">
        <f t="shared" si="1"/>
        <v>4.7604872546865538E-2</v>
      </c>
      <c r="J21" s="89">
        <f t="shared" si="1"/>
        <v>0</v>
      </c>
      <c r="K21" s="89">
        <f t="shared" si="1"/>
        <v>1.8205612716267663</v>
      </c>
      <c r="L21" s="89">
        <f t="shared" si="1"/>
        <v>0</v>
      </c>
      <c r="M21" s="89">
        <f t="shared" si="1"/>
        <v>0</v>
      </c>
      <c r="N21" s="89">
        <f t="shared" si="1"/>
        <v>0</v>
      </c>
      <c r="O21" s="89">
        <f t="shared" si="1"/>
        <v>0.37069075836785914</v>
      </c>
      <c r="P21" s="89">
        <f t="shared" si="1"/>
        <v>0</v>
      </c>
      <c r="Q21" s="89">
        <f t="shared" si="1"/>
        <v>0</v>
      </c>
      <c r="R21" s="89">
        <f t="shared" si="1"/>
        <v>0</v>
      </c>
      <c r="S21" s="89">
        <f t="shared" si="1"/>
        <v>0</v>
      </c>
      <c r="T21" s="89">
        <f t="shared" si="1"/>
        <v>0</v>
      </c>
      <c r="U21" s="89">
        <f t="shared" si="1"/>
        <v>0</v>
      </c>
      <c r="V21" s="89">
        <f t="shared" si="1"/>
        <v>0</v>
      </c>
      <c r="W21" s="89">
        <f t="shared" si="1"/>
        <v>0</v>
      </c>
      <c r="X21" s="89">
        <f t="shared" si="1"/>
        <v>0</v>
      </c>
      <c r="Y21" s="89">
        <f t="shared" si="1"/>
        <v>0</v>
      </c>
      <c r="Z21" s="89">
        <f t="shared" si="1"/>
        <v>0</v>
      </c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</row>
    <row r="22" spans="1:54" ht="21" x14ac:dyDescent="0.3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</row>
    <row r="23" spans="1:54" ht="21" x14ac:dyDescent="0.35">
      <c r="A23" s="89">
        <f>B23+C23+D23+E23+F23+G23+H23+I23+J23+K23+L23+M23+N23+O23+P23+Q23+R23+S23+T23+U23+V23+W23+X23+Y23+Z23</f>
        <v>1.4246048725468654</v>
      </c>
      <c r="B23" s="89"/>
      <c r="C23" s="89">
        <v>0.13900000000000001</v>
      </c>
      <c r="D23" s="89">
        <v>3.7999999999999999E-2</v>
      </c>
      <c r="E23" s="89"/>
      <c r="F23" s="89"/>
      <c r="G23" s="89">
        <v>0.1</v>
      </c>
      <c r="H23" s="89">
        <v>0.1</v>
      </c>
      <c r="I23" s="89">
        <f>I21</f>
        <v>4.7604872546865538E-2</v>
      </c>
      <c r="J23" s="89"/>
      <c r="K23" s="89">
        <v>0.62</v>
      </c>
      <c r="L23" s="89"/>
      <c r="M23" s="89"/>
      <c r="N23" s="89"/>
      <c r="O23" s="89">
        <v>0.38</v>
      </c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</row>
    <row r="24" spans="1:54" ht="21" x14ac:dyDescent="0.35">
      <c r="A24" s="89" t="s">
        <v>218</v>
      </c>
      <c r="B24" s="89">
        <f>K21+O21+U21</f>
        <v>2.1912520299946254</v>
      </c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</row>
    <row r="25" spans="1:54" ht="21" x14ac:dyDescent="0.35">
      <c r="A25" s="89" t="s">
        <v>219</v>
      </c>
      <c r="B25" s="89">
        <f>C21+D21+G21+H21+I21</f>
        <v>2.5454311485418217</v>
      </c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</row>
    <row r="26" spans="1:54" ht="21" x14ac:dyDescent="0.35">
      <c r="A26" s="89"/>
      <c r="B26" s="89">
        <f>B24+B25</f>
        <v>4.7366831785364472</v>
      </c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</row>
    <row r="27" spans="1:54" ht="21" x14ac:dyDescent="0.35">
      <c r="A27" s="89"/>
      <c r="B27" s="89">
        <f>SUM(C27:Z27)</f>
        <v>0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</row>
    <row r="28" spans="1:54" ht="21" x14ac:dyDescent="0.35">
      <c r="A28" s="89"/>
      <c r="B28" s="197" t="s">
        <v>14</v>
      </c>
      <c r="C28" s="197" t="s">
        <v>56</v>
      </c>
      <c r="D28" s="197" t="s">
        <v>15</v>
      </c>
      <c r="E28" s="197" t="s">
        <v>8</v>
      </c>
      <c r="F28" s="197" t="s">
        <v>9</v>
      </c>
      <c r="G28" s="197" t="s">
        <v>57</v>
      </c>
      <c r="H28" s="197" t="s">
        <v>58</v>
      </c>
      <c r="I28" s="197" t="s">
        <v>77</v>
      </c>
      <c r="J28" s="197" t="s">
        <v>204</v>
      </c>
      <c r="K28" s="198" t="s">
        <v>16</v>
      </c>
      <c r="L28" s="197" t="s">
        <v>55</v>
      </c>
      <c r="M28" s="197" t="s">
        <v>44</v>
      </c>
      <c r="N28" s="197" t="s">
        <v>43</v>
      </c>
      <c r="O28" s="197" t="s">
        <v>12</v>
      </c>
      <c r="P28" s="197" t="s">
        <v>80</v>
      </c>
      <c r="Q28" s="197" t="s">
        <v>81</v>
      </c>
      <c r="R28" s="197" t="s">
        <v>82</v>
      </c>
      <c r="S28" s="197" t="s">
        <v>83</v>
      </c>
      <c r="T28" s="197" t="s">
        <v>45</v>
      </c>
      <c r="U28" s="197" t="s">
        <v>17</v>
      </c>
      <c r="V28" s="197" t="s">
        <v>204</v>
      </c>
      <c r="W28" s="197" t="s">
        <v>0</v>
      </c>
      <c r="X28" s="197" t="s">
        <v>11</v>
      </c>
      <c r="Y28" s="197" t="s">
        <v>10</v>
      </c>
      <c r="Z28" s="197" t="s">
        <v>46</v>
      </c>
      <c r="AA28" s="182" t="s">
        <v>14</v>
      </c>
      <c r="AB28" s="183" t="s">
        <v>56</v>
      </c>
      <c r="AC28" s="184" t="s">
        <v>15</v>
      </c>
      <c r="AD28" s="185" t="s">
        <v>8</v>
      </c>
      <c r="AE28" s="184" t="s">
        <v>9</v>
      </c>
      <c r="AF28" s="184" t="s">
        <v>57</v>
      </c>
      <c r="AG28" s="185" t="s">
        <v>58</v>
      </c>
      <c r="AH28" s="184" t="s">
        <v>77</v>
      </c>
      <c r="AI28" s="186" t="s">
        <v>204</v>
      </c>
      <c r="AJ28" s="187" t="s">
        <v>16</v>
      </c>
      <c r="AK28" s="187" t="s">
        <v>55</v>
      </c>
      <c r="AL28" s="188" t="s">
        <v>44</v>
      </c>
      <c r="AM28" s="188" t="s">
        <v>10</v>
      </c>
      <c r="AN28" s="187" t="s">
        <v>12</v>
      </c>
      <c r="AO28" s="178" t="s">
        <v>80</v>
      </c>
      <c r="AP28" s="178" t="s">
        <v>81</v>
      </c>
      <c r="AQ28" s="178" t="s">
        <v>82</v>
      </c>
      <c r="AR28" s="178" t="s">
        <v>83</v>
      </c>
      <c r="AS28" s="178" t="s">
        <v>45</v>
      </c>
      <c r="AT28" s="178" t="s">
        <v>17</v>
      </c>
      <c r="AU28" s="186" t="s">
        <v>13</v>
      </c>
      <c r="AV28" s="178" t="s">
        <v>0</v>
      </c>
      <c r="AW28" s="178" t="s">
        <v>11</v>
      </c>
      <c r="AX28" s="178" t="s">
        <v>10</v>
      </c>
      <c r="AY28" s="178" t="s">
        <v>46</v>
      </c>
      <c r="AZ28" s="89"/>
      <c r="BA28" s="89"/>
      <c r="BB28" s="89"/>
    </row>
    <row r="29" spans="1:54" ht="21" x14ac:dyDescent="0.35">
      <c r="A29" s="89"/>
      <c r="B29" s="139">
        <f>100-C29-D29-E29-F29-G29-H29-I29-J29-K29-L29-M29-N29-O29-P29-Q29-R29-S29-T29-U29-V29-W29-X29-Y29-Z29</f>
        <v>99.128</v>
      </c>
      <c r="C29" s="177">
        <v>0.12</v>
      </c>
      <c r="D29" s="177">
        <v>0.03</v>
      </c>
      <c r="E29" s="177"/>
      <c r="F29" s="177"/>
      <c r="G29" s="177">
        <v>4.4999999999999998E-2</v>
      </c>
      <c r="H29" s="177">
        <v>4.4999999999999998E-2</v>
      </c>
      <c r="I29" s="177">
        <v>2E-3</v>
      </c>
      <c r="J29" s="177"/>
      <c r="K29" s="177">
        <v>0.6</v>
      </c>
      <c r="L29" s="177"/>
      <c r="M29" s="177"/>
      <c r="N29" s="177"/>
      <c r="O29" s="177">
        <v>0.03</v>
      </c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89">
        <v>55.84</v>
      </c>
      <c r="AB29" s="89">
        <v>12.01</v>
      </c>
      <c r="AC29" s="89">
        <v>28.0855</v>
      </c>
      <c r="AD29" s="89">
        <v>58.693399999999997</v>
      </c>
      <c r="AE29" s="89">
        <v>63.545999999999999</v>
      </c>
      <c r="AF29" s="89">
        <v>30.973762000000001</v>
      </c>
      <c r="AG29" s="89">
        <v>32.064999999999998</v>
      </c>
      <c r="AH29" s="89">
        <v>14.0067</v>
      </c>
      <c r="AI29" s="89">
        <v>10.81</v>
      </c>
      <c r="AJ29" s="89">
        <v>54.938043999999998</v>
      </c>
      <c r="AK29" s="89">
        <v>95.95</v>
      </c>
      <c r="AL29" s="89">
        <v>51.996099999999998</v>
      </c>
      <c r="AM29" s="89">
        <v>58.933194999999998</v>
      </c>
      <c r="AN29" s="89">
        <v>26.981539999999999</v>
      </c>
      <c r="AO29" s="89">
        <v>50.941499999999998</v>
      </c>
      <c r="AP29" s="89">
        <v>92.906369999999995</v>
      </c>
      <c r="AQ29" s="89">
        <v>183.84</v>
      </c>
      <c r="AR29" s="89">
        <v>180.94788</v>
      </c>
      <c r="AS29" s="89">
        <v>91.224000000000004</v>
      </c>
      <c r="AT29" s="89">
        <v>47.866999999999997</v>
      </c>
      <c r="AU29" s="89">
        <v>24.305</v>
      </c>
      <c r="AV29" s="89">
        <v>121.76</v>
      </c>
      <c r="AW29" s="89">
        <v>207.2</v>
      </c>
      <c r="AX29" s="89">
        <v>118.71</v>
      </c>
      <c r="AY29" s="89">
        <v>208.9804</v>
      </c>
      <c r="AZ29" s="89"/>
      <c r="BA29" s="89"/>
      <c r="BB29" s="89"/>
    </row>
    <row r="30" spans="1:54" ht="21" x14ac:dyDescent="0.35">
      <c r="A30" s="89"/>
      <c r="B30" s="139">
        <f>100*((((B29)/(AA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98.55148869562214</v>
      </c>
      <c r="C30" s="139">
        <f>100*((((C29)/(AB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0.55469020033847938</v>
      </c>
      <c r="D30" s="139">
        <f>100*((((D29)/(AC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5.9299543412660777E-2</v>
      </c>
      <c r="E30" s="139">
        <f>100*((((E29)/(AD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F30" s="139">
        <f>100*((((F29)/(AE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G30" s="139">
        <f>100*((((G29)/(AF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8.0654910106638847E-2</v>
      </c>
      <c r="H30" s="139">
        <f>100*((((H29)/(AG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7.7910057376405009E-2</v>
      </c>
      <c r="I30" s="139">
        <f>100*((((I29)/(AH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7.9269555594407657E-3</v>
      </c>
      <c r="J30" s="139">
        <f>100*((((J29)/(AI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K30" s="139">
        <f>100*((((K29)/(AJ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0.60630383073568628</v>
      </c>
      <c r="L30" s="139">
        <f>100*((((L29)/(AK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M30" s="139">
        <f>100*((((M29)/(AL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N30" s="139">
        <f>100*((((N29)/(AM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O30" s="139">
        <f>100*((((O29)/(AN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6.1725806848544763E-2</v>
      </c>
      <c r="P30" s="139">
        <f>100*((((P29)/(AO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Q30" s="139">
        <f>100*((((Q29)/(AP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R30" s="139">
        <f>100*((((R29)/(AQ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S30" s="139">
        <f>100*((((S29)/(AR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T30" s="139">
        <f>100*((((T29)/(AS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U30" s="139">
        <f>100*((((U29)/(AT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V30" s="139">
        <f>100*((((V29)/(AU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W30" s="139">
        <f>100*((((W29)/(AV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X30" s="89">
        <f>100*((((X29)/(AW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Y30" s="89">
        <f>100*((((Y29)/(AX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Z30" s="89">
        <f>100*((((Z29)/(AY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</row>
    <row r="31" spans="1:54" ht="21" x14ac:dyDescent="0.35">
      <c r="A31" s="89">
        <f>599-B31</f>
        <v>8.6765827132234108</v>
      </c>
      <c r="B31" s="89">
        <f>599*B30/100</f>
        <v>590.32341728677659</v>
      </c>
      <c r="C31" s="89">
        <f>599*C30/100</f>
        <v>3.3225943000274913</v>
      </c>
      <c r="D31" s="89">
        <f t="shared" ref="D31:Z31" si="2">599*D30/100</f>
        <v>0.35520426504183805</v>
      </c>
      <c r="E31" s="89">
        <f t="shared" si="2"/>
        <v>0</v>
      </c>
      <c r="F31" s="89">
        <f t="shared" si="2"/>
        <v>0</v>
      </c>
      <c r="G31" s="89">
        <f t="shared" si="2"/>
        <v>0.48312291153876674</v>
      </c>
      <c r="H31" s="89">
        <f t="shared" si="2"/>
        <v>0.46668124368466601</v>
      </c>
      <c r="I31" s="89">
        <f t="shared" si="2"/>
        <v>4.7482463801050187E-2</v>
      </c>
      <c r="J31" s="89">
        <f t="shared" si="2"/>
        <v>0</v>
      </c>
      <c r="K31" s="89">
        <f t="shared" si="2"/>
        <v>3.6317599461067607</v>
      </c>
      <c r="L31" s="89">
        <f t="shared" si="2"/>
        <v>0</v>
      </c>
      <c r="M31" s="89">
        <f t="shared" si="2"/>
        <v>0</v>
      </c>
      <c r="N31" s="89">
        <f t="shared" si="2"/>
        <v>0</v>
      </c>
      <c r="O31" s="89">
        <f t="shared" si="2"/>
        <v>0.36973758302278315</v>
      </c>
      <c r="P31" s="89">
        <f t="shared" si="2"/>
        <v>0</v>
      </c>
      <c r="Q31" s="89">
        <f t="shared" si="2"/>
        <v>0</v>
      </c>
      <c r="R31" s="89">
        <f t="shared" si="2"/>
        <v>0</v>
      </c>
      <c r="S31" s="89">
        <f t="shared" si="2"/>
        <v>0</v>
      </c>
      <c r="T31" s="89">
        <f t="shared" si="2"/>
        <v>0</v>
      </c>
      <c r="U31" s="89">
        <f t="shared" si="2"/>
        <v>0</v>
      </c>
      <c r="V31" s="89">
        <f t="shared" si="2"/>
        <v>0</v>
      </c>
      <c r="W31" s="89">
        <f t="shared" si="2"/>
        <v>0</v>
      </c>
      <c r="X31" s="89">
        <f t="shared" si="2"/>
        <v>0</v>
      </c>
      <c r="Y31" s="89">
        <f t="shared" si="2"/>
        <v>0</v>
      </c>
      <c r="Z31" s="89">
        <f t="shared" si="2"/>
        <v>0</v>
      </c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</row>
    <row r="32" spans="1:54" ht="21" x14ac:dyDescent="0.35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>
        <v>1</v>
      </c>
      <c r="R32" s="49">
        <f>Q32*100/599</f>
        <v>0.1669449081803005</v>
      </c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</row>
    <row r="33" spans="1:54" ht="21" x14ac:dyDescent="0.35">
      <c r="A33" s="89">
        <f>B33+C33+D33+E33+F33+G33+H33+I33+J33+K33+L33+M33+N33+O33+P33+Q33+R33+S33+T33+U33+V33+W33+X33+Y33+Z33</f>
        <v>3.7583722801616513</v>
      </c>
      <c r="B33" s="89"/>
      <c r="C33" s="89">
        <v>0.13900000000000001</v>
      </c>
      <c r="D33" s="89">
        <v>3.7999999999999999E-2</v>
      </c>
      <c r="E33" s="89"/>
      <c r="F33" s="89"/>
      <c r="G33" s="89">
        <v>0.1</v>
      </c>
      <c r="H33" s="89">
        <v>0.1</v>
      </c>
      <c r="I33" s="89">
        <f>I31</f>
        <v>4.7482463801050187E-2</v>
      </c>
      <c r="J33" s="89"/>
      <c r="K33" s="89">
        <v>0.62</v>
      </c>
      <c r="L33" s="89"/>
      <c r="M33" s="89"/>
      <c r="N33" s="89"/>
      <c r="O33" s="89">
        <v>0.38</v>
      </c>
      <c r="P33" s="89"/>
      <c r="Q33">
        <v>2</v>
      </c>
      <c r="R33" s="49">
        <f t="shared" ref="R33" si="3">Q33*100/599</f>
        <v>0.333889816360601</v>
      </c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</row>
    <row r="34" spans="1:54" ht="21" x14ac:dyDescent="0.35">
      <c r="A34" s="89" t="s">
        <v>218</v>
      </c>
      <c r="B34" s="89">
        <f>K31+O31+U31</f>
        <v>4.0014975291295443</v>
      </c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>
        <v>3</v>
      </c>
      <c r="R34" s="49">
        <f>Q34*100/599</f>
        <v>0.5008347245409015</v>
      </c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</row>
    <row r="35" spans="1:54" ht="21" x14ac:dyDescent="0.35">
      <c r="A35" s="89" t="s">
        <v>219</v>
      </c>
      <c r="B35" s="89">
        <f>C31+D31+G31+H31+I31</f>
        <v>4.6750851840938124</v>
      </c>
      <c r="C35" s="89"/>
      <c r="D35" s="89"/>
      <c r="E35" s="89"/>
      <c r="F35" s="89"/>
      <c r="G35" s="89"/>
      <c r="H35" s="89"/>
      <c r="I35" s="89"/>
      <c r="J35" s="89"/>
      <c r="K35" s="89">
        <f>3-O33-U33</f>
        <v>2.62</v>
      </c>
      <c r="L35" s="89"/>
      <c r="M35" s="89"/>
      <c r="N35" s="89"/>
      <c r="O35" s="89"/>
      <c r="P35" s="89"/>
      <c r="Q35">
        <v>4</v>
      </c>
      <c r="R35" s="49">
        <f t="shared" ref="R35:R46" si="4">Q35*100/599</f>
        <v>0.667779632721202</v>
      </c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</row>
    <row r="36" spans="1:54" ht="21" x14ac:dyDescent="0.35">
      <c r="A36" s="89"/>
      <c r="B36" s="89">
        <f>B34+B35</f>
        <v>8.6765827132233575</v>
      </c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>
        <v>5</v>
      </c>
      <c r="R36" s="49">
        <f t="shared" si="4"/>
        <v>0.8347245409015025</v>
      </c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</row>
    <row r="37" spans="1:54" ht="21" x14ac:dyDescent="0.35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>
        <v>6</v>
      </c>
      <c r="R37" s="49">
        <f t="shared" si="4"/>
        <v>1.001669449081803</v>
      </c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</row>
    <row r="38" spans="1:54" ht="21" x14ac:dyDescent="0.35">
      <c r="A38" s="89"/>
      <c r="B38" s="138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>
        <v>7</v>
      </c>
      <c r="R38" s="49">
        <f t="shared" si="4"/>
        <v>1.1686143572621035</v>
      </c>
      <c r="S38" s="177"/>
      <c r="T38" s="177"/>
      <c r="U38" s="177"/>
      <c r="V38" s="177"/>
      <c r="W38" s="177"/>
      <c r="X38" s="177"/>
      <c r="Y38" s="177"/>
      <c r="Z38" s="177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/>
    </row>
    <row r="39" spans="1:54" ht="21" x14ac:dyDescent="0.35">
      <c r="A39" s="89"/>
      <c r="B39" s="138"/>
      <c r="C39" s="199"/>
      <c r="D39" s="199"/>
      <c r="E39" s="199"/>
      <c r="F39" s="199"/>
      <c r="G39" s="200"/>
      <c r="H39" s="200"/>
      <c r="I39" s="200"/>
      <c r="J39" s="139"/>
      <c r="K39" s="139"/>
      <c r="L39" s="139"/>
      <c r="M39" s="139"/>
      <c r="N39" s="139"/>
      <c r="O39" s="139"/>
      <c r="P39" s="89"/>
      <c r="Q39">
        <v>8</v>
      </c>
      <c r="R39" s="49">
        <f t="shared" si="4"/>
        <v>1.335559265442404</v>
      </c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</row>
    <row r="40" spans="1:54" ht="21" x14ac:dyDescent="0.35">
      <c r="A40" s="89"/>
      <c r="B40" s="89"/>
      <c r="C40" s="89"/>
      <c r="D40" s="89"/>
      <c r="E40" s="89"/>
      <c r="F40" s="89"/>
      <c r="G40" s="89"/>
      <c r="H40" s="89"/>
      <c r="I40" s="89"/>
      <c r="J40" s="195"/>
      <c r="K40" s="195"/>
      <c r="L40" s="195"/>
      <c r="M40" s="195"/>
      <c r="N40" s="195"/>
      <c r="O40" s="195"/>
      <c r="P40" s="195"/>
      <c r="Q40">
        <v>9</v>
      </c>
      <c r="R40" s="49">
        <f>Q40*100/599</f>
        <v>1.5025041736227045</v>
      </c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  <c r="BA40" s="89"/>
      <c r="BB40" s="89"/>
    </row>
    <row r="41" spans="1:54" ht="21" x14ac:dyDescent="0.35">
      <c r="A41" s="89"/>
      <c r="B41" s="89" t="s">
        <v>200</v>
      </c>
      <c r="C41" s="201">
        <f>C40+G40+H40+I40+D40</f>
        <v>0</v>
      </c>
      <c r="D41" s="89">
        <f>C36+D36+E36+F36+G36+H36+I36</f>
        <v>0</v>
      </c>
      <c r="E41" s="89"/>
      <c r="F41" s="89"/>
      <c r="G41" s="89"/>
      <c r="H41" s="202"/>
      <c r="I41" s="202"/>
      <c r="J41" s="202"/>
      <c r="K41" s="202"/>
      <c r="L41" s="202"/>
      <c r="M41" s="202"/>
      <c r="N41" s="202"/>
      <c r="O41" s="89"/>
      <c r="P41" s="194"/>
      <c r="Q41">
        <v>10</v>
      </c>
      <c r="R41" s="49">
        <f t="shared" si="4"/>
        <v>1.669449081803005</v>
      </c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</row>
    <row r="42" spans="1:54" ht="21" x14ac:dyDescent="0.35">
      <c r="A42" s="89"/>
      <c r="B42" s="89" t="s">
        <v>16</v>
      </c>
      <c r="C42" s="196">
        <f>K40+O40</f>
        <v>0</v>
      </c>
      <c r="D42" s="89">
        <f>J36+K36+L36+M36+U36+Y36+O36+P36</f>
        <v>0</v>
      </c>
      <c r="E42" s="89"/>
      <c r="F42" s="89"/>
      <c r="G42" s="89"/>
      <c r="H42" s="89"/>
      <c r="I42" s="89"/>
      <c r="J42" s="89"/>
      <c r="K42" s="89">
        <v>3</v>
      </c>
      <c r="L42" s="89">
        <v>4</v>
      </c>
      <c r="M42" s="89">
        <v>5</v>
      </c>
      <c r="N42" s="203">
        <v>6</v>
      </c>
      <c r="O42" s="89">
        <v>7</v>
      </c>
      <c r="P42" s="89">
        <v>8</v>
      </c>
      <c r="Q42">
        <v>11</v>
      </c>
      <c r="R42" s="49">
        <f t="shared" si="4"/>
        <v>1.8363939899833055</v>
      </c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</row>
    <row r="43" spans="1:54" ht="21" x14ac:dyDescent="0.35">
      <c r="A43" s="89"/>
      <c r="B43" s="89"/>
      <c r="C43" s="89">
        <f>C41+C42</f>
        <v>0</v>
      </c>
      <c r="D43" s="89">
        <f>D41+D42</f>
        <v>0</v>
      </c>
      <c r="E43" s="89"/>
      <c r="F43" s="89">
        <f>G40+H40+I40</f>
        <v>0</v>
      </c>
      <c r="G43" s="89"/>
      <c r="H43" s="89"/>
      <c r="I43" s="89"/>
      <c r="J43" s="89"/>
      <c r="K43" s="89">
        <f>1/3</f>
        <v>0.33333333333333331</v>
      </c>
      <c r="L43" s="89">
        <f>1/4</f>
        <v>0.25</v>
      </c>
      <c r="M43" s="89">
        <f>1/5</f>
        <v>0.2</v>
      </c>
      <c r="N43" s="89">
        <f t="shared" ref="N43:N48" si="5">1/6</f>
        <v>0.16666666666666666</v>
      </c>
      <c r="O43" s="89">
        <f t="shared" ref="O43:O49" si="6">1/7</f>
        <v>0.14285714285714285</v>
      </c>
      <c r="P43" s="89">
        <f>1/8</f>
        <v>0.125</v>
      </c>
      <c r="Q43">
        <v>12</v>
      </c>
      <c r="R43" s="49">
        <f t="shared" si="4"/>
        <v>2.003338898163606</v>
      </c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</row>
    <row r="44" spans="1:54" ht="21" x14ac:dyDescent="0.3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>
        <f>1/3</f>
        <v>0.33333333333333331</v>
      </c>
      <c r="L44" s="89">
        <f>1/4</f>
        <v>0.25</v>
      </c>
      <c r="M44" s="89">
        <f t="shared" ref="M44:M47" si="7">1/5</f>
        <v>0.2</v>
      </c>
      <c r="N44" s="89">
        <f t="shared" si="5"/>
        <v>0.16666666666666666</v>
      </c>
      <c r="O44" s="89">
        <f t="shared" si="6"/>
        <v>0.14285714285714285</v>
      </c>
      <c r="P44" s="89">
        <f t="shared" ref="P44:P50" si="8">1/8</f>
        <v>0.125</v>
      </c>
      <c r="Q44">
        <v>13</v>
      </c>
      <c r="R44" s="49">
        <f t="shared" si="4"/>
        <v>2.1702838063439067</v>
      </c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</row>
    <row r="45" spans="1:54" ht="21" x14ac:dyDescent="0.35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>
        <f>1/3</f>
        <v>0.33333333333333331</v>
      </c>
      <c r="L45" s="89">
        <f>1/4</f>
        <v>0.25</v>
      </c>
      <c r="M45" s="89">
        <f t="shared" si="7"/>
        <v>0.2</v>
      </c>
      <c r="N45" s="89">
        <f t="shared" si="5"/>
        <v>0.16666666666666666</v>
      </c>
      <c r="O45" s="89">
        <f t="shared" si="6"/>
        <v>0.14285714285714285</v>
      </c>
      <c r="P45" s="89">
        <f t="shared" si="8"/>
        <v>0.125</v>
      </c>
      <c r="Q45" s="89"/>
      <c r="R45" s="49">
        <f t="shared" si="4"/>
        <v>0</v>
      </c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</row>
    <row r="46" spans="1:54" ht="21" x14ac:dyDescent="0.35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>
        <f>1/4</f>
        <v>0.25</v>
      </c>
      <c r="M46" s="89">
        <f t="shared" si="7"/>
        <v>0.2</v>
      </c>
      <c r="N46" s="89">
        <f t="shared" si="5"/>
        <v>0.16666666666666666</v>
      </c>
      <c r="O46" s="89">
        <f t="shared" si="6"/>
        <v>0.14285714285714285</v>
      </c>
      <c r="P46" s="89">
        <f t="shared" si="8"/>
        <v>0.125</v>
      </c>
      <c r="Q46" s="89"/>
      <c r="R46" s="49">
        <f t="shared" si="4"/>
        <v>0</v>
      </c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</row>
    <row r="47" spans="1:54" ht="21" x14ac:dyDescent="0.35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>
        <f t="shared" si="7"/>
        <v>0.2</v>
      </c>
      <c r="N47" s="89">
        <f t="shared" si="5"/>
        <v>0.16666666666666666</v>
      </c>
      <c r="O47" s="89">
        <f t="shared" si="6"/>
        <v>0.14285714285714285</v>
      </c>
      <c r="P47" s="89">
        <f t="shared" si="8"/>
        <v>0.125</v>
      </c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</row>
    <row r="48" spans="1:54" ht="21" x14ac:dyDescent="0.35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>
        <f t="shared" si="5"/>
        <v>0.16666666666666666</v>
      </c>
      <c r="O48" s="89">
        <f t="shared" si="6"/>
        <v>0.14285714285714285</v>
      </c>
      <c r="P48" s="89">
        <f t="shared" si="8"/>
        <v>0.125</v>
      </c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</row>
    <row r="49" spans="1:54" ht="21" x14ac:dyDescent="0.35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>
        <f t="shared" si="6"/>
        <v>0.14285714285714285</v>
      </c>
      <c r="P49" s="89">
        <f t="shared" si="8"/>
        <v>0.125</v>
      </c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</row>
    <row r="50" spans="1:54" ht="21" x14ac:dyDescent="0.35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>
        <f t="shared" si="8"/>
        <v>0.125</v>
      </c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</row>
    <row r="51" spans="1:54" ht="21" x14ac:dyDescent="0.35">
      <c r="A51" s="89"/>
      <c r="B51" s="197" t="s">
        <v>14</v>
      </c>
      <c r="C51" s="197" t="s">
        <v>56</v>
      </c>
      <c r="D51" s="197" t="s">
        <v>15</v>
      </c>
      <c r="E51" s="197" t="s">
        <v>8</v>
      </c>
      <c r="F51" s="197" t="s">
        <v>9</v>
      </c>
      <c r="G51" s="197" t="s">
        <v>57</v>
      </c>
      <c r="H51" s="197" t="s">
        <v>58</v>
      </c>
      <c r="I51" s="197" t="s">
        <v>77</v>
      </c>
      <c r="J51" s="197" t="s">
        <v>13</v>
      </c>
      <c r="K51" s="197" t="s">
        <v>16</v>
      </c>
      <c r="L51" s="197" t="s">
        <v>55</v>
      </c>
      <c r="M51" s="197" t="s">
        <v>44</v>
      </c>
      <c r="N51" s="197" t="s">
        <v>43</v>
      </c>
      <c r="O51" s="197" t="s">
        <v>12</v>
      </c>
      <c r="P51" s="197" t="s">
        <v>80</v>
      </c>
      <c r="Q51" s="197" t="s">
        <v>81</v>
      </c>
      <c r="R51" s="197" t="s">
        <v>82</v>
      </c>
      <c r="S51" s="197" t="s">
        <v>83</v>
      </c>
      <c r="T51" s="197" t="s">
        <v>45</v>
      </c>
      <c r="U51" s="197" t="s">
        <v>17</v>
      </c>
      <c r="V51" s="197" t="s">
        <v>204</v>
      </c>
      <c r="W51" s="197" t="s">
        <v>0</v>
      </c>
      <c r="X51" s="197" t="s">
        <v>11</v>
      </c>
      <c r="Y51" s="197" t="s">
        <v>10</v>
      </c>
      <c r="Z51" s="197" t="s">
        <v>46</v>
      </c>
      <c r="AA51" s="182" t="s">
        <v>14</v>
      </c>
      <c r="AB51" s="183" t="s">
        <v>56</v>
      </c>
      <c r="AC51" s="184" t="s">
        <v>15</v>
      </c>
      <c r="AD51" s="185" t="s">
        <v>8</v>
      </c>
      <c r="AE51" s="184" t="s">
        <v>9</v>
      </c>
      <c r="AF51" s="184" t="s">
        <v>57</v>
      </c>
      <c r="AG51" s="185" t="s">
        <v>58</v>
      </c>
      <c r="AH51" s="184" t="s">
        <v>77</v>
      </c>
      <c r="AI51" s="186" t="s">
        <v>204</v>
      </c>
      <c r="AJ51" s="187" t="s">
        <v>16</v>
      </c>
      <c r="AK51" s="187" t="s">
        <v>55</v>
      </c>
      <c r="AL51" s="188" t="s">
        <v>44</v>
      </c>
      <c r="AM51" s="188" t="s">
        <v>10</v>
      </c>
      <c r="AN51" s="187" t="s">
        <v>12</v>
      </c>
      <c r="AO51" s="178" t="s">
        <v>80</v>
      </c>
      <c r="AP51" s="178" t="s">
        <v>81</v>
      </c>
      <c r="AQ51" s="178" t="s">
        <v>82</v>
      </c>
      <c r="AR51" s="178" t="s">
        <v>83</v>
      </c>
      <c r="AS51" s="178" t="s">
        <v>45</v>
      </c>
      <c r="AT51" s="178" t="s">
        <v>17</v>
      </c>
      <c r="AU51" s="186" t="s">
        <v>13</v>
      </c>
      <c r="AV51" s="178" t="s">
        <v>0</v>
      </c>
      <c r="AW51" s="178" t="s">
        <v>11</v>
      </c>
      <c r="AX51" s="178" t="s">
        <v>10</v>
      </c>
      <c r="AY51" s="178" t="s">
        <v>46</v>
      </c>
      <c r="AZ51" s="89"/>
      <c r="BA51" s="89"/>
      <c r="BB51" s="89"/>
    </row>
    <row r="52" spans="1:54" ht="21" x14ac:dyDescent="0.35">
      <c r="A52" s="89"/>
      <c r="B52" s="139">
        <f>100-C52-D52-E52-F52-G52-H52-I52-J52-K52-L52-M52-N52-O52-P52-Q52-R52-S52-T52-U52-V52-W52-X52-Y52-Z52</f>
        <v>99.16</v>
      </c>
      <c r="C52" s="177">
        <v>0.12</v>
      </c>
      <c r="D52" s="177"/>
      <c r="E52" s="177"/>
      <c r="F52" s="177"/>
      <c r="G52" s="177">
        <v>4.4999999999999998E-2</v>
      </c>
      <c r="H52" s="177">
        <v>4.4999999999999998E-2</v>
      </c>
      <c r="I52" s="177"/>
      <c r="J52" s="177"/>
      <c r="K52" s="177">
        <v>0.6</v>
      </c>
      <c r="L52" s="177"/>
      <c r="M52" s="177"/>
      <c r="N52" s="177"/>
      <c r="O52" s="177">
        <v>0.03</v>
      </c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89">
        <v>55.84</v>
      </c>
      <c r="AB52" s="89">
        <v>12.01</v>
      </c>
      <c r="AC52" s="89">
        <v>28.0855</v>
      </c>
      <c r="AD52" s="89">
        <v>58.693399999999997</v>
      </c>
      <c r="AE52" s="89">
        <v>63.545999999999999</v>
      </c>
      <c r="AF52" s="89">
        <v>30.973762000000001</v>
      </c>
      <c r="AG52" s="89">
        <v>32.064999999999998</v>
      </c>
      <c r="AH52" s="89">
        <v>14.0067</v>
      </c>
      <c r="AI52" s="89">
        <v>10.81</v>
      </c>
      <c r="AJ52" s="89">
        <v>54.938043999999998</v>
      </c>
      <c r="AK52" s="89">
        <v>95.95</v>
      </c>
      <c r="AL52" s="89">
        <v>51.996099999999998</v>
      </c>
      <c r="AM52" s="89">
        <v>58.933194999999998</v>
      </c>
      <c r="AN52" s="89">
        <v>26.981539999999999</v>
      </c>
      <c r="AO52" s="89">
        <v>50.941499999999998</v>
      </c>
      <c r="AP52" s="89">
        <v>92.906369999999995</v>
      </c>
      <c r="AQ52" s="89">
        <v>183.84</v>
      </c>
      <c r="AR52" s="89">
        <v>180.94788</v>
      </c>
      <c r="AS52" s="89">
        <v>91.224000000000004</v>
      </c>
      <c r="AT52" s="89">
        <v>47.866999999999997</v>
      </c>
      <c r="AU52" s="89">
        <v>24.305</v>
      </c>
      <c r="AV52" s="89">
        <v>121.76</v>
      </c>
      <c r="AW52" s="89">
        <v>207.2</v>
      </c>
      <c r="AX52" s="89">
        <v>118.71</v>
      </c>
      <c r="AY52" s="89">
        <v>208.9804</v>
      </c>
      <c r="AZ52" s="89"/>
      <c r="BA52" s="89"/>
      <c r="BB52" s="89"/>
    </row>
    <row r="53" spans="1:54" ht="21" x14ac:dyDescent="0.35">
      <c r="A53" s="89"/>
      <c r="B53" s="139">
        <f>100*((((B52)/(AA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98.618225872374381</v>
      </c>
      <c r="C53" s="139">
        <f>100*((((C52)/(AB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0.55488670017624009</v>
      </c>
      <c r="D53" s="139">
        <f>100*((((D52)/(AC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E53" s="139">
        <f>100*((((E52)/(AD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F53" s="139">
        <f>100*((((F52)/(AE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G53" s="139">
        <f>100*((((G52)/(AF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8.0683482229854456E-2</v>
      </c>
      <c r="H53" s="139">
        <f>100*((((H52)/(AG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7.7937657131412499E-2</v>
      </c>
      <c r="I53" s="139">
        <f>100*((((I52)/(AH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J53" s="139">
        <f>100*((((J52)/(AI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K53" s="139">
        <f>100*((((K52)/(AJ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0.60651861477964553</v>
      </c>
      <c r="L53" s="139">
        <f>100*((((L52)/(AK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M53" s="139">
        <f>100*((((M52)/(AL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N53" s="139">
        <f>100*((((N52)/(AM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O53" s="139">
        <f>100*((((O52)/(AN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6.1747673308460566E-2</v>
      </c>
      <c r="P53" s="139">
        <f>100*((((P52)/(AO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Q53" s="139">
        <f>100*((((Q52)/(AP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R53" s="139">
        <f>100*((((R52)/(AQ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S53" s="139">
        <f>100*((((S52)/(AR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T53" s="139">
        <f>100*((((T52)/(AS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U53" s="139">
        <f>100*((((U52)/(AT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V53" s="139">
        <f>100*((((V52)/(AU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W53" s="139">
        <f>100*((((W52)/(AV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X53" s="89">
        <f>100*((((X52)/(AW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Y53" s="89">
        <f>100*((((Y52)/(AX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Z53" s="89">
        <f>100*((((Z52)/(AY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</row>
    <row r="54" spans="1:54" ht="21" x14ac:dyDescent="0.35">
      <c r="A54" s="89"/>
      <c r="B54" s="138">
        <f>SUM(C54:Z54)</f>
        <v>130.85780000000003</v>
      </c>
      <c r="C54" s="204">
        <v>90</v>
      </c>
      <c r="D54" s="204">
        <v>26</v>
      </c>
      <c r="E54" s="205">
        <v>8</v>
      </c>
      <c r="F54" s="205">
        <v>4</v>
      </c>
      <c r="G54" s="205"/>
      <c r="H54" s="205"/>
      <c r="I54" s="205"/>
      <c r="J54" s="147">
        <v>0.66600000000000004</v>
      </c>
      <c r="K54" s="147">
        <v>1.25</v>
      </c>
      <c r="L54" s="206">
        <v>0.33</v>
      </c>
      <c r="M54" s="147">
        <v>0.1666</v>
      </c>
      <c r="N54" s="147"/>
      <c r="O54" s="147">
        <v>0.25</v>
      </c>
      <c r="P54" s="147">
        <v>0.05</v>
      </c>
      <c r="Q54" s="147"/>
      <c r="R54" s="147"/>
      <c r="S54" s="147"/>
      <c r="T54" s="147"/>
      <c r="U54" s="147">
        <v>0.12089999999999999</v>
      </c>
      <c r="V54" s="147"/>
      <c r="W54" s="147"/>
      <c r="X54" s="147"/>
      <c r="Y54" s="147">
        <v>2.4299999999999999E-2</v>
      </c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</row>
    <row r="55" spans="1:54" ht="21" x14ac:dyDescent="0.35">
      <c r="A55" s="89"/>
      <c r="B55" s="138" t="s">
        <v>14</v>
      </c>
      <c r="C55" s="138" t="s">
        <v>56</v>
      </c>
      <c r="D55" s="138" t="s">
        <v>15</v>
      </c>
      <c r="E55" s="138" t="s">
        <v>8</v>
      </c>
      <c r="F55" s="138" t="s">
        <v>9</v>
      </c>
      <c r="G55" s="138" t="s">
        <v>57</v>
      </c>
      <c r="H55" s="138" t="s">
        <v>58</v>
      </c>
      <c r="I55" s="138" t="s">
        <v>77</v>
      </c>
      <c r="J55" s="138" t="s">
        <v>13</v>
      </c>
      <c r="K55" s="138" t="s">
        <v>16</v>
      </c>
      <c r="L55" s="138" t="s">
        <v>55</v>
      </c>
      <c r="M55" s="138" t="s">
        <v>44</v>
      </c>
      <c r="N55" s="138" t="s">
        <v>43</v>
      </c>
      <c r="O55" s="138" t="s">
        <v>12</v>
      </c>
      <c r="P55" s="89" t="s">
        <v>80</v>
      </c>
      <c r="Q55" s="89" t="s">
        <v>81</v>
      </c>
      <c r="R55" s="89" t="s">
        <v>82</v>
      </c>
      <c r="S55" s="89" t="s">
        <v>83</v>
      </c>
      <c r="T55" s="89" t="s">
        <v>45</v>
      </c>
      <c r="U55" s="89" t="s">
        <v>17</v>
      </c>
      <c r="V55" s="89" t="s">
        <v>91</v>
      </c>
      <c r="W55" s="89" t="s">
        <v>0</v>
      </c>
      <c r="X55" s="89" t="s">
        <v>11</v>
      </c>
      <c r="Y55" s="89" t="s">
        <v>10</v>
      </c>
      <c r="Z55" s="89" t="s">
        <v>46</v>
      </c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</row>
    <row r="56" spans="1:54" ht="21" x14ac:dyDescent="0.35">
      <c r="A56" s="89"/>
      <c r="B56" s="138">
        <f>100-SUM(C56:Z56)</f>
        <v>98.618225872374381</v>
      </c>
      <c r="C56" s="177">
        <f>C53</f>
        <v>0.55488670017624009</v>
      </c>
      <c r="D56" s="177">
        <f t="shared" ref="D56:Z56" si="9">D53</f>
        <v>0</v>
      </c>
      <c r="E56" s="177">
        <f t="shared" si="9"/>
        <v>0</v>
      </c>
      <c r="F56" s="177">
        <f t="shared" si="9"/>
        <v>0</v>
      </c>
      <c r="G56" s="177">
        <f t="shared" si="9"/>
        <v>8.0683482229854456E-2</v>
      </c>
      <c r="H56" s="177">
        <f t="shared" si="9"/>
        <v>7.7937657131412499E-2</v>
      </c>
      <c r="I56" s="177">
        <f t="shared" si="9"/>
        <v>0</v>
      </c>
      <c r="J56" s="177">
        <f t="shared" si="9"/>
        <v>0</v>
      </c>
      <c r="K56" s="177">
        <f t="shared" si="9"/>
        <v>0.60651861477964553</v>
      </c>
      <c r="L56" s="177">
        <f t="shared" si="9"/>
        <v>0</v>
      </c>
      <c r="M56" s="177">
        <f t="shared" si="9"/>
        <v>0</v>
      </c>
      <c r="N56" s="177">
        <f t="shared" si="9"/>
        <v>0</v>
      </c>
      <c r="O56" s="177">
        <f t="shared" si="9"/>
        <v>6.1747673308460566E-2</v>
      </c>
      <c r="P56" s="177">
        <f t="shared" si="9"/>
        <v>0</v>
      </c>
      <c r="Q56" s="177">
        <f t="shared" si="9"/>
        <v>0</v>
      </c>
      <c r="R56" s="177">
        <f t="shared" si="9"/>
        <v>0</v>
      </c>
      <c r="S56" s="177">
        <f t="shared" si="9"/>
        <v>0</v>
      </c>
      <c r="T56" s="177">
        <f t="shared" si="9"/>
        <v>0</v>
      </c>
      <c r="U56" s="177">
        <f t="shared" si="9"/>
        <v>0</v>
      </c>
      <c r="V56" s="177">
        <f t="shared" si="9"/>
        <v>0</v>
      </c>
      <c r="W56" s="177">
        <f t="shared" si="9"/>
        <v>0</v>
      </c>
      <c r="X56" s="177">
        <f t="shared" si="9"/>
        <v>0</v>
      </c>
      <c r="Y56" s="177">
        <f t="shared" si="9"/>
        <v>0</v>
      </c>
      <c r="Z56" s="177">
        <f t="shared" si="9"/>
        <v>0</v>
      </c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</row>
    <row r="57" spans="1:54" ht="21" x14ac:dyDescent="0.35">
      <c r="A57" s="89"/>
      <c r="B57" s="138"/>
      <c r="C57" s="199">
        <f>B56/C56</f>
        <v>177.72677889207256</v>
      </c>
      <c r="D57" s="199" t="e">
        <f>B56/D56</f>
        <v>#DIV/0!</v>
      </c>
      <c r="E57" s="199" t="e">
        <f>B56/E56</f>
        <v>#DIV/0!</v>
      </c>
      <c r="F57" s="199" t="e">
        <f>B56/F56</f>
        <v>#DIV/0!</v>
      </c>
      <c r="G57" s="200">
        <f>B56/G56</f>
        <v>1222.2851957656796</v>
      </c>
      <c r="H57" s="200">
        <f>B56/H56</f>
        <v>1265.347580388411</v>
      </c>
      <c r="I57" s="200" t="e">
        <f>B56/I56</f>
        <v>#DIV/0!</v>
      </c>
      <c r="J57" s="139" t="e">
        <f>B56/J56</f>
        <v>#DIV/0!</v>
      </c>
      <c r="K57" s="139">
        <f>B56/K56</f>
        <v>162.59719564947466</v>
      </c>
      <c r="L57" s="139" t="e">
        <f>B56/L56</f>
        <v>#DIV/0!</v>
      </c>
      <c r="M57" s="139" t="e">
        <f>B56/M56</f>
        <v>#DIV/0!</v>
      </c>
      <c r="N57" s="139" t="e">
        <f>B56/N56</f>
        <v>#DIV/0!</v>
      </c>
      <c r="O57" s="139">
        <f>B56/O56</f>
        <v>1597.1164675262651</v>
      </c>
      <c r="P57" s="89" t="e">
        <f>B56/P56</f>
        <v>#DIV/0!</v>
      </c>
      <c r="Q57" s="89" t="e">
        <f>B56/Q56</f>
        <v>#DIV/0!</v>
      </c>
      <c r="R57" s="89" t="e">
        <f>B56/R56</f>
        <v>#DIV/0!</v>
      </c>
      <c r="S57" s="89" t="e">
        <f>B56/S56</f>
        <v>#DIV/0!</v>
      </c>
      <c r="T57" s="89" t="e">
        <f>B56/T56</f>
        <v>#DIV/0!</v>
      </c>
      <c r="U57" s="89" t="e">
        <f>B56/U56</f>
        <v>#DIV/0!</v>
      </c>
      <c r="V57" s="89" t="e">
        <f>B56/V56</f>
        <v>#DIV/0!</v>
      </c>
      <c r="W57" s="89" t="e">
        <f>B56/W56</f>
        <v>#DIV/0!</v>
      </c>
      <c r="X57" s="89" t="e">
        <f>B56/X56</f>
        <v>#DIV/0!</v>
      </c>
      <c r="Y57" s="89" t="e">
        <f>B56/Y56</f>
        <v>#DIV/0!</v>
      </c>
      <c r="Z57" s="89" t="e">
        <f t="shared" ref="Z57" si="10">L56/Z56</f>
        <v>#DIV/0!</v>
      </c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</row>
    <row r="58" spans="1:54" ht="21" x14ac:dyDescent="0.35">
      <c r="A58" s="89"/>
      <c r="B58" s="89"/>
      <c r="C58" s="89">
        <f>599*B56/100/C57</f>
        <v>3.323771334055678</v>
      </c>
      <c r="D58" s="89" t="e">
        <f>599*B56/100/D57</f>
        <v>#DIV/0!</v>
      </c>
      <c r="E58" s="89" t="e">
        <f>599*B56/100/E57</f>
        <v>#DIV/0!</v>
      </c>
      <c r="F58" s="89" t="e">
        <f>599*B56/100/F57</f>
        <v>#DIV/0!</v>
      </c>
      <c r="G58" s="89">
        <f>599*B56/100/G57</f>
        <v>0.48329405855682811</v>
      </c>
      <c r="H58" s="89">
        <f>599*B56/100/H57</f>
        <v>0.46684656621716081</v>
      </c>
      <c r="I58" s="89" t="e">
        <f>599*B56/100/I57</f>
        <v>#DIV/0!</v>
      </c>
      <c r="J58" s="195" t="e">
        <f>599*B56/100/J57</f>
        <v>#DIV/0!</v>
      </c>
      <c r="K58" s="195">
        <f>599*B56/100/K57</f>
        <v>3.6330465025300769</v>
      </c>
      <c r="L58" s="195" t="e">
        <f>599*B56/100/L57</f>
        <v>#DIV/0!</v>
      </c>
      <c r="M58" s="195" t="e">
        <f>599*B56/100/M57</f>
        <v>#DIV/0!</v>
      </c>
      <c r="N58" s="195" t="e">
        <f>599*B56/100/N57</f>
        <v>#DIV/0!</v>
      </c>
      <c r="O58" s="195">
        <f>599*B56/100/O57</f>
        <v>0.36986856311767874</v>
      </c>
      <c r="P58" s="195" t="e">
        <f>599*B56/100/P57</f>
        <v>#DIV/0!</v>
      </c>
      <c r="Q58" s="89" t="e">
        <f>599*B56/100/Q57</f>
        <v>#DIV/0!</v>
      </c>
      <c r="R58" s="89" t="e">
        <f>599*B56/100/R57</f>
        <v>#DIV/0!</v>
      </c>
      <c r="S58" s="89" t="e">
        <f>599*B56/100/S57</f>
        <v>#DIV/0!</v>
      </c>
      <c r="T58" s="89" t="e">
        <f>599*B56/100/T57</f>
        <v>#DIV/0!</v>
      </c>
      <c r="U58" s="89" t="e">
        <f>599*B56/100/U57</f>
        <v>#DIV/0!</v>
      </c>
      <c r="V58" s="89" t="e">
        <f>599*B56/100/V57</f>
        <v>#DIV/0!</v>
      </c>
      <c r="W58" s="89" t="e">
        <f>599*B56/100/W57</f>
        <v>#DIV/0!</v>
      </c>
      <c r="X58" s="89" t="e">
        <f>599*B56/100/X57</f>
        <v>#DIV/0!</v>
      </c>
      <c r="Y58" s="89" t="e">
        <f>599*B56/100/Y57</f>
        <v>#DIV/0!</v>
      </c>
      <c r="Z58" s="89" t="e">
        <f>599*B56/100/Z57</f>
        <v>#DIV/0!</v>
      </c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</row>
    <row r="59" spans="1:54" ht="21" x14ac:dyDescent="0.35">
      <c r="A59" s="89"/>
      <c r="B59" s="89" t="s">
        <v>200</v>
      </c>
      <c r="C59" s="201">
        <f>C58+G58+H58</f>
        <v>4.2739119588296672</v>
      </c>
      <c r="D59" s="89">
        <f>C54+D54+E54+F54+G54+H54+I54</f>
        <v>128</v>
      </c>
      <c r="E59" s="89"/>
      <c r="F59" s="89"/>
      <c r="G59" s="89"/>
      <c r="H59" s="202"/>
      <c r="I59" s="202"/>
      <c r="J59" s="202"/>
      <c r="K59" s="202"/>
      <c r="L59" s="202"/>
      <c r="M59" s="202"/>
      <c r="N59" s="202"/>
      <c r="O59" s="89"/>
      <c r="P59" s="194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</row>
    <row r="60" spans="1:54" ht="21" x14ac:dyDescent="0.35">
      <c r="A60" s="89"/>
      <c r="B60" s="89"/>
      <c r="C60" s="196">
        <f>K58+O58</f>
        <v>4.0029150656477555</v>
      </c>
      <c r="D60" s="89">
        <f>J54+K54+L54+M54+U54+Y54+O54+P54</f>
        <v>2.8577999999999997</v>
      </c>
      <c r="E60" s="89"/>
      <c r="F60" s="89"/>
      <c r="G60" s="89"/>
      <c r="H60" s="89"/>
      <c r="I60" s="89"/>
      <c r="J60" s="89"/>
      <c r="K60" s="89">
        <v>3</v>
      </c>
      <c r="L60" s="89">
        <v>4</v>
      </c>
      <c r="M60" s="89">
        <v>5</v>
      </c>
      <c r="N60" s="203">
        <v>6</v>
      </c>
      <c r="O60" s="89">
        <v>7</v>
      </c>
      <c r="P60" s="89">
        <v>8</v>
      </c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</row>
    <row r="61" spans="1:54" ht="21" x14ac:dyDescent="0.35">
      <c r="A61" s="89"/>
      <c r="B61" s="89"/>
      <c r="C61" s="89">
        <f>C59+C60</f>
        <v>8.2768270244774236</v>
      </c>
      <c r="D61" s="89">
        <f>D59+D60</f>
        <v>130.8578</v>
      </c>
      <c r="E61" s="89"/>
      <c r="F61" s="89" t="e">
        <f>G58+H58+I58</f>
        <v>#DIV/0!</v>
      </c>
      <c r="G61" s="89"/>
      <c r="H61" s="89"/>
      <c r="I61" s="89"/>
      <c r="J61" s="89"/>
      <c r="K61" s="89">
        <f>1/3</f>
        <v>0.33333333333333331</v>
      </c>
      <c r="L61" s="89">
        <f>1/4</f>
        <v>0.25</v>
      </c>
      <c r="M61" s="89">
        <f>1/5</f>
        <v>0.2</v>
      </c>
      <c r="N61" s="89">
        <f t="shared" ref="N61:N63" si="11">1/6</f>
        <v>0.16666666666666666</v>
      </c>
      <c r="O61" s="89">
        <f t="shared" ref="O61:O63" si="12">1/7</f>
        <v>0.14285714285714285</v>
      </c>
      <c r="P61" s="89">
        <f>1/8</f>
        <v>0.125</v>
      </c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</row>
    <row r="62" spans="1:54" ht="21" x14ac:dyDescent="0.35">
      <c r="A62" s="89"/>
      <c r="B62" s="89"/>
      <c r="C62" s="89"/>
      <c r="D62" s="89"/>
      <c r="E62" s="89"/>
      <c r="F62" s="89"/>
      <c r="G62" s="89"/>
      <c r="H62" s="89">
        <v>1</v>
      </c>
      <c r="I62" s="194">
        <f>H62*100/599</f>
        <v>0.1669449081803005</v>
      </c>
      <c r="J62" s="89"/>
      <c r="K62" s="89">
        <f>1/3</f>
        <v>0.33333333333333331</v>
      </c>
      <c r="L62" s="89">
        <f>1/4</f>
        <v>0.25</v>
      </c>
      <c r="M62" s="89">
        <f t="shared" ref="M62:M63" si="13">1/5</f>
        <v>0.2</v>
      </c>
      <c r="N62" s="89">
        <f t="shared" si="11"/>
        <v>0.16666666666666666</v>
      </c>
      <c r="O62" s="89">
        <f t="shared" si="12"/>
        <v>0.14285714285714285</v>
      </c>
      <c r="P62" s="89">
        <f t="shared" ref="P62:P63" si="14">1/8</f>
        <v>0.125</v>
      </c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</row>
    <row r="63" spans="1:54" ht="21" x14ac:dyDescent="0.35">
      <c r="A63" s="89"/>
      <c r="B63" s="89" t="s">
        <v>170</v>
      </c>
      <c r="C63" s="89" t="e">
        <f>C58+D58</f>
        <v>#DIV/0!</v>
      </c>
      <c r="D63" s="89"/>
      <c r="E63" s="89">
        <f>120-D54-E54-F54-G54-H54-I54</f>
        <v>82</v>
      </c>
      <c r="F63" s="89"/>
      <c r="G63" s="89">
        <v>2</v>
      </c>
      <c r="H63" s="89">
        <v>0.5</v>
      </c>
      <c r="I63" s="194">
        <f t="shared" ref="I63" si="15">H63*100/599</f>
        <v>8.347245409015025E-2</v>
      </c>
      <c r="J63" s="89"/>
      <c r="K63" s="89">
        <f>1/3</f>
        <v>0.33333333333333331</v>
      </c>
      <c r="L63" s="89">
        <f>1/4</f>
        <v>0.25</v>
      </c>
      <c r="M63" s="89">
        <f t="shared" si="13"/>
        <v>0.2</v>
      </c>
      <c r="N63" s="89">
        <f t="shared" si="11"/>
        <v>0.16666666666666666</v>
      </c>
      <c r="O63" s="89">
        <f t="shared" si="12"/>
        <v>0.14285714285714285</v>
      </c>
      <c r="P63" s="89">
        <f t="shared" si="14"/>
        <v>0.125</v>
      </c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89"/>
      <c r="BA63" s="89"/>
      <c r="BB63" s="89"/>
    </row>
    <row r="64" spans="1:54" ht="21" x14ac:dyDescent="0.3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89"/>
      <c r="BA64" s="89"/>
      <c r="BB64" s="89"/>
    </row>
    <row r="65" spans="1:54" ht="21" x14ac:dyDescent="0.3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  <c r="AX65" s="89"/>
      <c r="AY65" s="89"/>
      <c r="AZ65" s="89"/>
      <c r="BA65" s="89"/>
      <c r="BB65" s="89"/>
    </row>
    <row r="66" spans="1:54" ht="21" x14ac:dyDescent="0.3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89"/>
      <c r="BB66" s="89"/>
    </row>
    <row r="67" spans="1:54" ht="21" x14ac:dyDescent="0.35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89"/>
      <c r="BA67" s="89"/>
      <c r="BB67" s="89"/>
    </row>
    <row r="68" spans="1:54" ht="21" x14ac:dyDescent="0.35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  <c r="AX68" s="89"/>
      <c r="AY68" s="89"/>
      <c r="AZ68" s="89"/>
      <c r="BA68" s="89"/>
      <c r="BB68" s="89"/>
    </row>
    <row r="69" spans="1:54" ht="21" x14ac:dyDescent="0.35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</row>
    <row r="70" spans="1:54" ht="21" x14ac:dyDescent="0.35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  <c r="AX70" s="89"/>
      <c r="AY70" s="89"/>
      <c r="AZ70" s="89"/>
      <c r="BA70" s="89"/>
      <c r="BB70" s="89"/>
    </row>
    <row r="71" spans="1:54" ht="21" x14ac:dyDescent="0.35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</row>
    <row r="72" spans="1:54" ht="21" x14ac:dyDescent="0.35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</row>
    <row r="73" spans="1:54" ht="21" x14ac:dyDescent="0.35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</row>
    <row r="74" spans="1:54" ht="21" x14ac:dyDescent="0.35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</row>
    <row r="75" spans="1:54" ht="21" x14ac:dyDescent="0.35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</row>
    <row r="76" spans="1:54" ht="21" x14ac:dyDescent="0.35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</row>
    <row r="77" spans="1:54" ht="21" x14ac:dyDescent="0.35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</row>
    <row r="78" spans="1:54" ht="21" x14ac:dyDescent="0.35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</row>
    <row r="79" spans="1:54" ht="21" x14ac:dyDescent="0.35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</row>
    <row r="80" spans="1:54" ht="21" x14ac:dyDescent="0.35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</row>
    <row r="81" spans="1:54" ht="21" x14ac:dyDescent="0.35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</row>
    <row r="82" spans="1:54" ht="21" x14ac:dyDescent="0.35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</row>
    <row r="83" spans="1:54" ht="21" x14ac:dyDescent="0.35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</row>
    <row r="84" spans="1:54" ht="21" x14ac:dyDescent="0.35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</row>
    <row r="85" spans="1:54" ht="21" x14ac:dyDescent="0.35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</row>
    <row r="86" spans="1:54" ht="21" x14ac:dyDescent="0.35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</row>
    <row r="87" spans="1:54" ht="21" x14ac:dyDescent="0.35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</row>
    <row r="88" spans="1:54" ht="21" x14ac:dyDescent="0.35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</row>
    <row r="89" spans="1:54" ht="21" x14ac:dyDescent="0.35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</row>
    <row r="90" spans="1:54" ht="21" x14ac:dyDescent="0.35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</row>
    <row r="91" spans="1:54" ht="21" x14ac:dyDescent="0.35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</row>
    <row r="92" spans="1:54" ht="21" x14ac:dyDescent="0.35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</row>
    <row r="93" spans="1:54" ht="21" x14ac:dyDescent="0.35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</row>
    <row r="94" spans="1:54" ht="21" x14ac:dyDescent="0.35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</row>
    <row r="95" spans="1:54" ht="21" x14ac:dyDescent="0.35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</row>
    <row r="96" spans="1:54" ht="21" x14ac:dyDescent="0.35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  <c r="AP96" s="89"/>
      <c r="AQ96" s="89"/>
      <c r="AR96" s="89"/>
      <c r="AS96" s="89"/>
      <c r="AT96" s="89"/>
      <c r="AU96" s="89"/>
      <c r="AV96" s="89"/>
      <c r="AW96" s="89"/>
      <c r="AX96" s="89"/>
      <c r="AY96" s="89"/>
      <c r="AZ96" s="89"/>
      <c r="BA96" s="89"/>
      <c r="BB96" s="89"/>
    </row>
    <row r="97" spans="1:54" ht="21" x14ac:dyDescent="0.35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89"/>
      <c r="AP97" s="89"/>
      <c r="AQ97" s="89"/>
      <c r="AR97" s="89"/>
      <c r="AS97" s="89"/>
      <c r="AT97" s="89"/>
      <c r="AU97" s="89"/>
      <c r="AV97" s="89"/>
      <c r="AW97" s="89"/>
      <c r="AX97" s="89"/>
      <c r="AY97" s="89"/>
      <c r="AZ97" s="89"/>
      <c r="BA97" s="89"/>
      <c r="BB97" s="89"/>
    </row>
    <row r="98" spans="1:54" ht="21" x14ac:dyDescent="0.35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89"/>
      <c r="AP98" s="89"/>
      <c r="AQ98" s="89"/>
      <c r="AR98" s="89"/>
      <c r="AS98" s="89"/>
      <c r="AT98" s="89"/>
      <c r="AU98" s="89"/>
      <c r="AV98" s="89"/>
      <c r="AW98" s="89"/>
      <c r="AX98" s="89"/>
      <c r="AY98" s="89"/>
      <c r="AZ98" s="89"/>
      <c r="BA98" s="89"/>
      <c r="BB98" s="89"/>
    </row>
    <row r="99" spans="1:54" ht="21" x14ac:dyDescent="0.35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89"/>
      <c r="AQ99" s="89"/>
      <c r="AR99" s="89"/>
      <c r="AS99" s="89"/>
      <c r="AT99" s="89"/>
      <c r="AU99" s="89"/>
      <c r="AV99" s="89"/>
      <c r="AW99" s="89"/>
      <c r="AX99" s="89"/>
      <c r="AY99" s="89"/>
      <c r="AZ99" s="89"/>
      <c r="BA99" s="89"/>
      <c r="BB99" s="89"/>
    </row>
    <row r="100" spans="1:54" ht="21" x14ac:dyDescent="0.35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  <c r="AJ100" s="89"/>
      <c r="AK100" s="89"/>
      <c r="AL100" s="89"/>
      <c r="AM100" s="89"/>
      <c r="AN100" s="89"/>
      <c r="AO100" s="89"/>
      <c r="AP100" s="89"/>
      <c r="AQ100" s="89"/>
      <c r="AR100" s="89"/>
      <c r="AS100" s="89"/>
      <c r="AT100" s="89"/>
      <c r="AU100" s="89"/>
      <c r="AV100" s="89"/>
      <c r="AW100" s="89"/>
      <c r="AX100" s="89"/>
      <c r="AY100" s="89"/>
      <c r="AZ100" s="89"/>
      <c r="BA100" s="89"/>
      <c r="BB100" s="89"/>
    </row>
    <row r="101" spans="1:54" ht="21" x14ac:dyDescent="0.35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89"/>
      <c r="AQ101" s="89"/>
      <c r="AR101" s="89"/>
      <c r="AS101" s="89"/>
      <c r="AT101" s="89"/>
      <c r="AU101" s="89"/>
      <c r="AV101" s="89"/>
      <c r="AW101" s="89"/>
      <c r="AX101" s="89"/>
      <c r="AY101" s="89"/>
      <c r="AZ101" s="89"/>
      <c r="BA101" s="89"/>
      <c r="BB101" s="89"/>
    </row>
    <row r="102" spans="1:54" ht="21" x14ac:dyDescent="0.35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  <c r="AP102" s="89"/>
      <c r="AQ102" s="89"/>
      <c r="AR102" s="89"/>
      <c r="AS102" s="89"/>
      <c r="AT102" s="89"/>
      <c r="AU102" s="89"/>
      <c r="AV102" s="89"/>
      <c r="AW102" s="89"/>
      <c r="AX102" s="89"/>
      <c r="AY102" s="89"/>
      <c r="AZ102" s="89"/>
      <c r="BA102" s="89"/>
      <c r="BB102" s="89"/>
    </row>
    <row r="103" spans="1:54" ht="21" x14ac:dyDescent="0.35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  <c r="AP103" s="89"/>
      <c r="AQ103" s="89"/>
      <c r="AR103" s="89"/>
      <c r="AS103" s="89"/>
      <c r="AT103" s="89"/>
      <c r="AU103" s="89"/>
      <c r="AV103" s="89"/>
      <c r="AW103" s="89"/>
      <c r="AX103" s="89"/>
      <c r="AY103" s="89"/>
      <c r="AZ103" s="89"/>
      <c r="BA103" s="89"/>
      <c r="BB103" s="89"/>
    </row>
    <row r="104" spans="1:54" ht="21" x14ac:dyDescent="0.35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89"/>
      <c r="AQ104" s="89"/>
      <c r="AR104" s="89"/>
      <c r="AS104" s="89"/>
      <c r="AT104" s="89"/>
      <c r="AU104" s="89"/>
      <c r="AV104" s="89"/>
      <c r="AW104" s="89"/>
      <c r="AX104" s="89"/>
      <c r="AY104" s="89"/>
      <c r="AZ104" s="89"/>
      <c r="BA104" s="89"/>
      <c r="BB104" s="89"/>
    </row>
    <row r="105" spans="1:54" ht="21" x14ac:dyDescent="0.35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89"/>
      <c r="AN105" s="89"/>
      <c r="AO105" s="89"/>
      <c r="AP105" s="89"/>
      <c r="AQ105" s="89"/>
      <c r="AR105" s="89"/>
      <c r="AS105" s="89"/>
      <c r="AT105" s="89"/>
      <c r="AU105" s="89"/>
      <c r="AV105" s="89"/>
      <c r="AW105" s="89"/>
      <c r="AX105" s="89"/>
      <c r="AY105" s="89"/>
      <c r="AZ105" s="89"/>
      <c r="BA105" s="89"/>
      <c r="BB105" s="89"/>
    </row>
    <row r="106" spans="1:54" ht="21" x14ac:dyDescent="0.35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  <c r="AN106" s="89"/>
      <c r="AO106" s="89"/>
      <c r="AP106" s="89"/>
      <c r="AQ106" s="89"/>
      <c r="AR106" s="89"/>
      <c r="AS106" s="89"/>
      <c r="AT106" s="89"/>
      <c r="AU106" s="89"/>
      <c r="AV106" s="89"/>
      <c r="AW106" s="89"/>
      <c r="AX106" s="89"/>
      <c r="AY106" s="89"/>
      <c r="AZ106" s="89"/>
      <c r="BA106" s="89"/>
      <c r="BB106" s="89"/>
    </row>
    <row r="107" spans="1:54" ht="21" x14ac:dyDescent="0.35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  <c r="AN107" s="89"/>
      <c r="AO107" s="89"/>
      <c r="AP107" s="89"/>
      <c r="AQ107" s="89"/>
      <c r="AR107" s="89"/>
      <c r="AS107" s="89"/>
      <c r="AT107" s="89"/>
      <c r="AU107" s="89"/>
      <c r="AV107" s="89"/>
      <c r="AW107" s="89"/>
      <c r="AX107" s="89"/>
      <c r="AY107" s="89"/>
      <c r="AZ107" s="89"/>
      <c r="BA107" s="89"/>
      <c r="BB107" s="89"/>
    </row>
    <row r="108" spans="1:54" ht="21" x14ac:dyDescent="0.35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89"/>
      <c r="AN108" s="89"/>
      <c r="AO108" s="89"/>
      <c r="AP108" s="89"/>
      <c r="AQ108" s="89"/>
      <c r="AR108" s="89"/>
      <c r="AS108" s="89"/>
      <c r="AT108" s="89"/>
      <c r="AU108" s="89"/>
      <c r="AV108" s="89"/>
      <c r="AW108" s="89"/>
      <c r="AX108" s="89"/>
      <c r="AY108" s="89"/>
      <c r="AZ108" s="89"/>
      <c r="BA108" s="89"/>
      <c r="BB108" s="89"/>
    </row>
    <row r="109" spans="1:54" ht="21" x14ac:dyDescent="0.35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  <c r="AN109" s="89"/>
      <c r="AO109" s="89"/>
      <c r="AP109" s="89"/>
      <c r="AQ109" s="89"/>
      <c r="AR109" s="89"/>
      <c r="AS109" s="89"/>
      <c r="AT109" s="89"/>
      <c r="AU109" s="89"/>
      <c r="AV109" s="89"/>
      <c r="AW109" s="89"/>
      <c r="AX109" s="89"/>
      <c r="AY109" s="89"/>
      <c r="AZ109" s="89"/>
      <c r="BA109" s="89"/>
      <c r="BB109" s="89"/>
    </row>
    <row r="110" spans="1:54" ht="21" x14ac:dyDescent="0.35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  <c r="AN110" s="89"/>
      <c r="AO110" s="89"/>
      <c r="AP110" s="89"/>
      <c r="AQ110" s="89"/>
      <c r="AR110" s="89"/>
      <c r="AS110" s="89"/>
      <c r="AT110" s="89"/>
      <c r="AU110" s="89"/>
      <c r="AV110" s="89"/>
      <c r="AW110" s="89"/>
      <c r="AX110" s="89"/>
      <c r="AY110" s="89"/>
      <c r="AZ110" s="89"/>
      <c r="BA110" s="89"/>
      <c r="BB110" s="89"/>
    </row>
    <row r="111" spans="1:54" ht="21" x14ac:dyDescent="0.35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89"/>
      <c r="AQ111" s="89"/>
      <c r="AR111" s="89"/>
      <c r="AS111" s="89"/>
      <c r="AT111" s="89"/>
      <c r="AU111" s="89"/>
      <c r="AV111" s="89"/>
      <c r="AW111" s="89"/>
      <c r="AX111" s="89"/>
      <c r="AY111" s="89"/>
      <c r="AZ111" s="89"/>
      <c r="BA111" s="89"/>
      <c r="BB111" s="89"/>
    </row>
    <row r="112" spans="1:54" ht="21" x14ac:dyDescent="0.35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  <c r="AN112" s="89"/>
      <c r="AO112" s="89"/>
      <c r="AP112" s="89"/>
      <c r="AQ112" s="89"/>
      <c r="AR112" s="89"/>
      <c r="AS112" s="89"/>
      <c r="AT112" s="89"/>
      <c r="AU112" s="89"/>
      <c r="AV112" s="89"/>
      <c r="AW112" s="89"/>
      <c r="AX112" s="89"/>
      <c r="AY112" s="89"/>
      <c r="AZ112" s="89"/>
      <c r="BA112" s="89"/>
      <c r="BB112" s="89"/>
    </row>
    <row r="113" spans="1:54" ht="21" x14ac:dyDescent="0.35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  <c r="AH113" s="89"/>
      <c r="AI113" s="89"/>
      <c r="AJ113" s="89"/>
      <c r="AK113" s="89"/>
      <c r="AL113" s="89"/>
      <c r="AM113" s="89"/>
      <c r="AN113" s="89"/>
      <c r="AO113" s="89"/>
      <c r="AP113" s="89"/>
      <c r="AQ113" s="89"/>
      <c r="AR113" s="89"/>
      <c r="AS113" s="89"/>
      <c r="AT113" s="89"/>
      <c r="AU113" s="89"/>
      <c r="AV113" s="89"/>
      <c r="AW113" s="89"/>
      <c r="AX113" s="89"/>
      <c r="AY113" s="89"/>
      <c r="AZ113" s="89"/>
      <c r="BA113" s="89"/>
      <c r="BB113" s="89"/>
    </row>
    <row r="114" spans="1:54" ht="21" x14ac:dyDescent="0.35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/>
      <c r="AJ114" s="89"/>
      <c r="AK114" s="89"/>
      <c r="AL114" s="89"/>
      <c r="AM114" s="89"/>
      <c r="AN114" s="89"/>
      <c r="AO114" s="89"/>
      <c r="AP114" s="89"/>
      <c r="AQ114" s="89"/>
      <c r="AR114" s="89"/>
      <c r="AS114" s="89"/>
      <c r="AT114" s="89"/>
      <c r="AU114" s="89"/>
      <c r="AV114" s="89"/>
      <c r="AW114" s="89"/>
      <c r="AX114" s="89"/>
      <c r="AY114" s="89"/>
      <c r="AZ114" s="89"/>
      <c r="BA114" s="89"/>
      <c r="BB114" s="89"/>
    </row>
    <row r="115" spans="1:54" ht="21" x14ac:dyDescent="0.35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  <c r="AI115" s="89"/>
      <c r="AJ115" s="89"/>
      <c r="AK115" s="89"/>
      <c r="AL115" s="89"/>
      <c r="AM115" s="89"/>
      <c r="AN115" s="89"/>
      <c r="AO115" s="89"/>
      <c r="AP115" s="89"/>
      <c r="AQ115" s="89"/>
      <c r="AR115" s="89"/>
      <c r="AS115" s="89"/>
      <c r="AT115" s="89"/>
      <c r="AU115" s="89"/>
      <c r="AV115" s="89"/>
      <c r="AW115" s="89"/>
      <c r="AX115" s="89"/>
      <c r="AY115" s="89"/>
      <c r="AZ115" s="89"/>
      <c r="BA115" s="89"/>
      <c r="BB115" s="89"/>
    </row>
    <row r="116" spans="1:54" ht="21" x14ac:dyDescent="0.35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89"/>
      <c r="AN116" s="89"/>
      <c r="AO116" s="89"/>
      <c r="AP116" s="89"/>
      <c r="AQ116" s="89"/>
      <c r="AR116" s="89"/>
      <c r="AS116" s="89"/>
      <c r="AT116" s="89"/>
      <c r="AU116" s="89"/>
      <c r="AV116" s="89"/>
      <c r="AW116" s="89"/>
      <c r="AX116" s="89"/>
      <c r="AY116" s="89"/>
      <c r="AZ116" s="89"/>
      <c r="BA116" s="89"/>
      <c r="BB116" s="89"/>
    </row>
    <row r="117" spans="1:54" ht="21" x14ac:dyDescent="0.35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89"/>
      <c r="AQ117" s="89"/>
      <c r="AR117" s="89"/>
      <c r="AS117" s="89"/>
      <c r="AT117" s="89"/>
      <c r="AU117" s="89"/>
      <c r="AV117" s="89"/>
      <c r="AW117" s="89"/>
      <c r="AX117" s="89"/>
      <c r="AY117" s="89"/>
      <c r="AZ117" s="89"/>
      <c r="BA117" s="89"/>
      <c r="BB117" s="89"/>
    </row>
    <row r="118" spans="1:54" ht="21" x14ac:dyDescent="0.35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89"/>
      <c r="AQ118" s="89"/>
      <c r="AR118" s="89"/>
      <c r="AS118" s="89"/>
      <c r="AT118" s="89"/>
      <c r="AU118" s="89"/>
      <c r="AV118" s="89"/>
      <c r="AW118" s="89"/>
      <c r="AX118" s="89"/>
      <c r="AY118" s="89"/>
      <c r="AZ118" s="89"/>
      <c r="BA118" s="89"/>
      <c r="BB118" s="89"/>
    </row>
    <row r="119" spans="1:54" ht="21" x14ac:dyDescent="0.35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89"/>
      <c r="AP119" s="89"/>
      <c r="AQ119" s="89"/>
      <c r="AR119" s="89"/>
      <c r="AS119" s="89"/>
      <c r="AT119" s="89"/>
      <c r="AU119" s="89"/>
      <c r="AV119" s="89"/>
      <c r="AW119" s="89"/>
      <c r="AX119" s="89"/>
      <c r="AY119" s="89"/>
      <c r="AZ119" s="89"/>
      <c r="BA119" s="89"/>
      <c r="BB119" s="89"/>
    </row>
    <row r="120" spans="1:54" ht="21" x14ac:dyDescent="0.35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89"/>
      <c r="AQ120" s="89"/>
      <c r="AR120" s="89"/>
      <c r="AS120" s="89"/>
      <c r="AT120" s="89"/>
      <c r="AU120" s="89"/>
      <c r="AV120" s="89"/>
      <c r="AW120" s="89"/>
      <c r="AX120" s="89"/>
      <c r="AY120" s="89"/>
      <c r="AZ120" s="89"/>
      <c r="BA120" s="89"/>
      <c r="BB120" s="89"/>
    </row>
    <row r="121" spans="1:54" ht="21" x14ac:dyDescent="0.35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89"/>
      <c r="AQ121" s="89"/>
      <c r="AR121" s="89"/>
      <c r="AS121" s="89"/>
      <c r="AT121" s="89"/>
      <c r="AU121" s="89"/>
      <c r="AV121" s="89"/>
      <c r="AW121" s="89"/>
      <c r="AX121" s="89"/>
      <c r="AY121" s="89"/>
      <c r="AZ121" s="89"/>
      <c r="BA121" s="89"/>
      <c r="BB121" s="89"/>
    </row>
    <row r="122" spans="1:54" ht="21" x14ac:dyDescent="0.35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89"/>
      <c r="AQ122" s="89"/>
      <c r="AR122" s="89"/>
      <c r="AS122" s="89"/>
      <c r="AT122" s="89"/>
      <c r="AU122" s="89"/>
      <c r="AV122" s="89"/>
      <c r="AW122" s="89"/>
      <c r="AX122" s="89"/>
      <c r="AY122" s="89"/>
      <c r="AZ122" s="89"/>
      <c r="BA122" s="89"/>
      <c r="BB122" s="89"/>
    </row>
    <row r="123" spans="1:54" ht="21" x14ac:dyDescent="0.35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89"/>
      <c r="AN123" s="89"/>
      <c r="AO123" s="89"/>
      <c r="AP123" s="89"/>
      <c r="AQ123" s="89"/>
      <c r="AR123" s="89"/>
      <c r="AS123" s="89"/>
      <c r="AT123" s="89"/>
      <c r="AU123" s="89"/>
      <c r="AV123" s="89"/>
      <c r="AW123" s="89"/>
      <c r="AX123" s="89"/>
      <c r="AY123" s="89"/>
      <c r="AZ123" s="89"/>
      <c r="BA123" s="89"/>
      <c r="BB123" s="89"/>
    </row>
    <row r="124" spans="1:54" ht="21" x14ac:dyDescent="0.35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89"/>
      <c r="AN124" s="89"/>
      <c r="AO124" s="89"/>
      <c r="AP124" s="89"/>
      <c r="AQ124" s="89"/>
      <c r="AR124" s="89"/>
      <c r="AS124" s="89"/>
      <c r="AT124" s="89"/>
      <c r="AU124" s="89"/>
      <c r="AV124" s="89"/>
      <c r="AW124" s="89"/>
      <c r="AX124" s="89"/>
      <c r="AY124" s="89"/>
      <c r="AZ124" s="89"/>
      <c r="BA124" s="89"/>
      <c r="BB124" s="89"/>
    </row>
    <row r="125" spans="1:54" ht="21" x14ac:dyDescent="0.35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89"/>
      <c r="AP125" s="89"/>
      <c r="AQ125" s="89"/>
      <c r="AR125" s="89"/>
      <c r="AS125" s="89"/>
      <c r="AT125" s="89"/>
      <c r="AU125" s="89"/>
      <c r="AV125" s="89"/>
      <c r="AW125" s="89"/>
      <c r="AX125" s="89"/>
      <c r="AY125" s="89"/>
      <c r="AZ125" s="89"/>
      <c r="BA125" s="89"/>
      <c r="BB125" s="89"/>
    </row>
    <row r="126" spans="1:54" ht="21" x14ac:dyDescent="0.35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89"/>
      <c r="AN126" s="89"/>
      <c r="AO126" s="89"/>
      <c r="AP126" s="89"/>
      <c r="AQ126" s="89"/>
      <c r="AR126" s="89"/>
      <c r="AS126" s="89"/>
      <c r="AT126" s="89"/>
      <c r="AU126" s="89"/>
      <c r="AV126" s="89"/>
      <c r="AW126" s="89"/>
      <c r="AX126" s="89"/>
      <c r="AY126" s="89"/>
      <c r="AZ126" s="89"/>
      <c r="BA126" s="89"/>
      <c r="BB126" s="89"/>
    </row>
    <row r="127" spans="1:54" ht="21" x14ac:dyDescent="0.35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89"/>
      <c r="AN127" s="89"/>
      <c r="AO127" s="89"/>
      <c r="AP127" s="89"/>
      <c r="AQ127" s="89"/>
      <c r="AR127" s="89"/>
      <c r="AS127" s="89"/>
      <c r="AT127" s="89"/>
      <c r="AU127" s="89"/>
      <c r="AV127" s="89"/>
      <c r="AW127" s="89"/>
      <c r="AX127" s="89"/>
      <c r="AY127" s="89"/>
      <c r="AZ127" s="89"/>
      <c r="BA127" s="89"/>
      <c r="BB127" s="89"/>
    </row>
    <row r="128" spans="1:54" ht="21" x14ac:dyDescent="0.35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  <c r="AK128" s="89"/>
      <c r="AL128" s="89"/>
      <c r="AM128" s="89"/>
      <c r="AN128" s="89"/>
      <c r="AO128" s="89"/>
      <c r="AP128" s="89"/>
      <c r="AQ128" s="89"/>
      <c r="AR128" s="89"/>
      <c r="AS128" s="89"/>
      <c r="AT128" s="89"/>
      <c r="AU128" s="89"/>
      <c r="AV128" s="89"/>
      <c r="AW128" s="89"/>
      <c r="AX128" s="89"/>
      <c r="AY128" s="89"/>
      <c r="AZ128" s="89"/>
      <c r="BA128" s="89"/>
      <c r="BB128" s="89"/>
    </row>
    <row r="129" spans="1:54" ht="21" x14ac:dyDescent="0.35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89"/>
      <c r="AN129" s="89"/>
      <c r="AO129" s="89"/>
      <c r="AP129" s="89"/>
      <c r="AQ129" s="89"/>
      <c r="AR129" s="89"/>
      <c r="AS129" s="89"/>
      <c r="AT129" s="89"/>
      <c r="AU129" s="89"/>
      <c r="AV129" s="89"/>
      <c r="AW129" s="89"/>
      <c r="AX129" s="89"/>
      <c r="AY129" s="89"/>
      <c r="AZ129" s="89"/>
      <c r="BA129" s="89"/>
      <c r="BB129" s="89"/>
    </row>
    <row r="130" spans="1:54" ht="21" x14ac:dyDescent="0.35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  <c r="AJ130" s="89"/>
      <c r="AK130" s="89"/>
      <c r="AL130" s="89"/>
      <c r="AM130" s="89"/>
      <c r="AN130" s="89"/>
      <c r="AO130" s="89"/>
      <c r="AP130" s="89"/>
      <c r="AQ130" s="89"/>
      <c r="AR130" s="89"/>
      <c r="AS130" s="89"/>
      <c r="AT130" s="89"/>
      <c r="AU130" s="89"/>
      <c r="AV130" s="89"/>
      <c r="AW130" s="89"/>
      <c r="AX130" s="89"/>
      <c r="AY130" s="89"/>
      <c r="AZ130" s="89"/>
      <c r="BA130" s="89"/>
      <c r="BB130" s="89"/>
    </row>
    <row r="131" spans="1:54" ht="21" x14ac:dyDescent="0.35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  <c r="AL131" s="89"/>
      <c r="AM131" s="89"/>
      <c r="AN131" s="89"/>
      <c r="AO131" s="89"/>
      <c r="AP131" s="89"/>
      <c r="AQ131" s="89"/>
      <c r="AR131" s="89"/>
      <c r="AS131" s="89"/>
      <c r="AT131" s="89"/>
      <c r="AU131" s="89"/>
      <c r="AV131" s="89"/>
      <c r="AW131" s="89"/>
      <c r="AX131" s="89"/>
      <c r="AY131" s="89"/>
      <c r="AZ131" s="89"/>
      <c r="BA131" s="89"/>
      <c r="BB131" s="89"/>
    </row>
    <row r="132" spans="1:54" ht="21" x14ac:dyDescent="0.35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  <c r="AJ132" s="89"/>
      <c r="AK132" s="89"/>
      <c r="AL132" s="89"/>
      <c r="AM132" s="89"/>
      <c r="AN132" s="89"/>
      <c r="AO132" s="89"/>
      <c r="AP132" s="89"/>
      <c r="AQ132" s="89"/>
      <c r="AR132" s="89"/>
      <c r="AS132" s="89"/>
      <c r="AT132" s="89"/>
      <c r="AU132" s="89"/>
      <c r="AV132" s="89"/>
      <c r="AW132" s="89"/>
      <c r="AX132" s="89"/>
      <c r="AY132" s="89"/>
      <c r="AZ132" s="89"/>
      <c r="BA132" s="89"/>
      <c r="BB132" s="89"/>
    </row>
    <row r="133" spans="1:54" ht="21" x14ac:dyDescent="0.35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89"/>
      <c r="AO133" s="89"/>
      <c r="AP133" s="89"/>
      <c r="AQ133" s="89"/>
      <c r="AR133" s="89"/>
      <c r="AS133" s="89"/>
      <c r="AT133" s="89"/>
      <c r="AU133" s="89"/>
      <c r="AV133" s="89"/>
      <c r="AW133" s="89"/>
      <c r="AX133" s="89"/>
      <c r="AY133" s="89"/>
      <c r="AZ133" s="89"/>
      <c r="BA133" s="89"/>
      <c r="BB133" s="89"/>
    </row>
    <row r="134" spans="1:54" ht="21" x14ac:dyDescent="0.35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89"/>
      <c r="AK134" s="89"/>
      <c r="AL134" s="89"/>
      <c r="AM134" s="89"/>
      <c r="AN134" s="89"/>
      <c r="AO134" s="89"/>
      <c r="AP134" s="89"/>
      <c r="AQ134" s="89"/>
      <c r="AR134" s="89"/>
      <c r="AS134" s="89"/>
      <c r="AT134" s="89"/>
      <c r="AU134" s="89"/>
      <c r="AV134" s="89"/>
      <c r="AW134" s="89"/>
      <c r="AX134" s="89"/>
      <c r="AY134" s="89"/>
      <c r="AZ134" s="89"/>
      <c r="BA134" s="89"/>
      <c r="BB134" s="89"/>
    </row>
    <row r="135" spans="1:54" ht="21" x14ac:dyDescent="0.35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89"/>
      <c r="AN135" s="89"/>
      <c r="AO135" s="89"/>
      <c r="AP135" s="89"/>
      <c r="AQ135" s="89"/>
      <c r="AR135" s="89"/>
      <c r="AS135" s="89"/>
      <c r="AT135" s="89"/>
      <c r="AU135" s="89"/>
      <c r="AV135" s="89"/>
      <c r="AW135" s="89"/>
      <c r="AX135" s="89"/>
      <c r="AY135" s="89"/>
      <c r="AZ135" s="89"/>
      <c r="BA135" s="89"/>
      <c r="BB135" s="89"/>
    </row>
    <row r="136" spans="1:54" ht="21" x14ac:dyDescent="0.35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  <c r="AJ136" s="89"/>
      <c r="AK136" s="89"/>
      <c r="AL136" s="89"/>
      <c r="AM136" s="89"/>
      <c r="AN136" s="89"/>
      <c r="AO136" s="89"/>
      <c r="AP136" s="89"/>
      <c r="AQ136" s="89"/>
      <c r="AR136" s="89"/>
      <c r="AS136" s="89"/>
      <c r="AT136" s="89"/>
      <c r="AU136" s="89"/>
      <c r="AV136" s="89"/>
      <c r="AW136" s="89"/>
      <c r="AX136" s="89"/>
      <c r="AY136" s="89"/>
      <c r="AZ136" s="89"/>
      <c r="BA136" s="89"/>
      <c r="BB136" s="89"/>
    </row>
    <row r="137" spans="1:54" ht="21" x14ac:dyDescent="0.35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89"/>
      <c r="AN137" s="89"/>
      <c r="AO137" s="89"/>
      <c r="AP137" s="89"/>
      <c r="AQ137" s="89"/>
      <c r="AR137" s="89"/>
      <c r="AS137" s="89"/>
      <c r="AT137" s="89"/>
      <c r="AU137" s="89"/>
      <c r="AV137" s="89"/>
      <c r="AW137" s="89"/>
      <c r="AX137" s="89"/>
      <c r="AY137" s="89"/>
      <c r="AZ137" s="89"/>
      <c r="BA137" s="89"/>
      <c r="BB137" s="89"/>
    </row>
    <row r="138" spans="1:54" ht="21" x14ac:dyDescent="0.35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89"/>
      <c r="AP138" s="89"/>
      <c r="AQ138" s="89"/>
      <c r="AR138" s="89"/>
      <c r="AS138" s="89"/>
      <c r="AT138" s="89"/>
      <c r="AU138" s="89"/>
      <c r="AV138" s="89"/>
      <c r="AW138" s="89"/>
      <c r="AX138" s="89"/>
      <c r="AY138" s="89"/>
      <c r="AZ138" s="89"/>
      <c r="BA138" s="89"/>
      <c r="BB138" s="89"/>
    </row>
    <row r="139" spans="1:54" ht="21" x14ac:dyDescent="0.35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89"/>
      <c r="AN139" s="89"/>
      <c r="AO139" s="89"/>
      <c r="AP139" s="89"/>
      <c r="AQ139" s="89"/>
      <c r="AR139" s="89"/>
      <c r="AS139" s="89"/>
      <c r="AT139" s="89"/>
      <c r="AU139" s="89"/>
      <c r="AV139" s="89"/>
      <c r="AW139" s="89"/>
      <c r="AX139" s="89"/>
      <c r="AY139" s="89"/>
      <c r="AZ139" s="89"/>
      <c r="BA139" s="89"/>
      <c r="BB139" s="89"/>
    </row>
    <row r="140" spans="1:54" ht="21" x14ac:dyDescent="0.35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  <c r="AN140" s="89"/>
      <c r="AO140" s="89"/>
      <c r="AP140" s="89"/>
      <c r="AQ140" s="89"/>
      <c r="AR140" s="89"/>
      <c r="AS140" s="89"/>
      <c r="AT140" s="89"/>
      <c r="AU140" s="89"/>
      <c r="AV140" s="89"/>
      <c r="AW140" s="89"/>
      <c r="AX140" s="89"/>
      <c r="AY140" s="89"/>
      <c r="AZ140" s="89"/>
      <c r="BA140" s="89"/>
      <c r="BB140" s="89"/>
    </row>
    <row r="141" spans="1:54" ht="21" x14ac:dyDescent="0.35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  <c r="AH141" s="89"/>
      <c r="AI141" s="89"/>
      <c r="AJ141" s="89"/>
      <c r="AK141" s="89"/>
      <c r="AL141" s="89"/>
      <c r="AM141" s="89"/>
      <c r="AN141" s="89"/>
      <c r="AO141" s="89"/>
      <c r="AP141" s="89"/>
      <c r="AQ141" s="89"/>
      <c r="AR141" s="89"/>
      <c r="AS141" s="89"/>
      <c r="AT141" s="89"/>
      <c r="AU141" s="89"/>
      <c r="AV141" s="89"/>
      <c r="AW141" s="89"/>
      <c r="AX141" s="89"/>
      <c r="AY141" s="89"/>
      <c r="AZ141" s="89"/>
      <c r="BA141" s="89"/>
      <c r="BB141" s="89"/>
    </row>
    <row r="142" spans="1:54" ht="21" x14ac:dyDescent="0.35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/>
      <c r="AJ142" s="89"/>
      <c r="AK142" s="89"/>
      <c r="AL142" s="89"/>
      <c r="AM142" s="89"/>
      <c r="AN142" s="89"/>
      <c r="AO142" s="89"/>
      <c r="AP142" s="89"/>
      <c r="AQ142" s="89"/>
      <c r="AR142" s="89"/>
      <c r="AS142" s="89"/>
      <c r="AT142" s="89"/>
      <c r="AU142" s="89"/>
      <c r="AV142" s="89"/>
      <c r="AW142" s="89"/>
      <c r="AX142" s="89"/>
      <c r="AY142" s="89"/>
      <c r="AZ142" s="89"/>
      <c r="BA142" s="89"/>
      <c r="BB142" s="89"/>
    </row>
    <row r="143" spans="1:54" ht="21" x14ac:dyDescent="0.35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89"/>
      <c r="AO143" s="89"/>
      <c r="AP143" s="89"/>
      <c r="AQ143" s="89"/>
      <c r="AR143" s="89"/>
      <c r="AS143" s="89"/>
      <c r="AT143" s="89"/>
      <c r="AU143" s="89"/>
      <c r="AV143" s="89"/>
      <c r="AW143" s="89"/>
      <c r="AX143" s="89"/>
      <c r="AY143" s="89"/>
      <c r="AZ143" s="89"/>
      <c r="BA143" s="89"/>
      <c r="BB143" s="89"/>
    </row>
    <row r="144" spans="1:54" ht="21" x14ac:dyDescent="0.35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89"/>
      <c r="AN144" s="89"/>
      <c r="AO144" s="89"/>
      <c r="AP144" s="89"/>
      <c r="AQ144" s="89"/>
      <c r="AR144" s="89"/>
      <c r="AS144" s="89"/>
      <c r="AT144" s="89"/>
      <c r="AU144" s="89"/>
      <c r="AV144" s="89"/>
      <c r="AW144" s="89"/>
      <c r="AX144" s="89"/>
      <c r="AY144" s="89"/>
      <c r="AZ144" s="89"/>
      <c r="BA144" s="89"/>
      <c r="BB144" s="89"/>
    </row>
    <row r="145" spans="1:54" ht="21" x14ac:dyDescent="0.35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  <c r="AH145" s="89"/>
      <c r="AI145" s="89"/>
      <c r="AJ145" s="89"/>
      <c r="AK145" s="89"/>
      <c r="AL145" s="89"/>
      <c r="AM145" s="89"/>
      <c r="AN145" s="89"/>
      <c r="AO145" s="89"/>
      <c r="AP145" s="89"/>
      <c r="AQ145" s="89"/>
      <c r="AR145" s="89"/>
      <c r="AS145" s="89"/>
      <c r="AT145" s="89"/>
      <c r="AU145" s="89"/>
      <c r="AV145" s="89"/>
      <c r="AW145" s="89"/>
      <c r="AX145" s="89"/>
      <c r="AY145" s="89"/>
      <c r="AZ145" s="89"/>
      <c r="BA145" s="89"/>
      <c r="BB145" s="89"/>
    </row>
    <row r="146" spans="1:54" ht="21" x14ac:dyDescent="0.35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89"/>
      <c r="AO146" s="89"/>
      <c r="AP146" s="89"/>
      <c r="AQ146" s="89"/>
      <c r="AR146" s="89"/>
      <c r="AS146" s="89"/>
      <c r="AT146" s="89"/>
      <c r="AU146" s="89"/>
      <c r="AV146" s="89"/>
      <c r="AW146" s="89"/>
      <c r="AX146" s="89"/>
      <c r="AY146" s="89"/>
      <c r="AZ146" s="89"/>
      <c r="BA146" s="89"/>
      <c r="BB146" s="89"/>
    </row>
    <row r="147" spans="1:54" ht="21" x14ac:dyDescent="0.35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  <c r="AK147" s="89"/>
      <c r="AL147" s="89"/>
      <c r="AM147" s="89"/>
      <c r="AN147" s="89"/>
      <c r="AO147" s="89"/>
      <c r="AP147" s="89"/>
      <c r="AQ147" s="89"/>
      <c r="AR147" s="89"/>
      <c r="AS147" s="89"/>
      <c r="AT147" s="89"/>
      <c r="AU147" s="89"/>
      <c r="AV147" s="89"/>
      <c r="AW147" s="89"/>
      <c r="AX147" s="89"/>
      <c r="AY147" s="89"/>
      <c r="AZ147" s="89"/>
      <c r="BA147" s="89"/>
      <c r="BB147" s="89"/>
    </row>
    <row r="148" spans="1:54" ht="21" x14ac:dyDescent="0.35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89"/>
      <c r="AN148" s="89"/>
      <c r="AO148" s="89"/>
      <c r="AP148" s="89"/>
      <c r="AQ148" s="89"/>
      <c r="AR148" s="89"/>
      <c r="AS148" s="89"/>
      <c r="AT148" s="89"/>
      <c r="AU148" s="89"/>
      <c r="AV148" s="89"/>
      <c r="AW148" s="89"/>
      <c r="AX148" s="89"/>
      <c r="AY148" s="89"/>
      <c r="AZ148" s="89"/>
      <c r="BA148" s="89"/>
      <c r="BB148" s="89"/>
    </row>
    <row r="149" spans="1:54" ht="21" x14ac:dyDescent="0.35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89"/>
      <c r="AO149" s="89"/>
      <c r="AP149" s="89"/>
      <c r="AQ149" s="89"/>
      <c r="AR149" s="89"/>
      <c r="AS149" s="89"/>
      <c r="AT149" s="89"/>
      <c r="AU149" s="89"/>
      <c r="AV149" s="89"/>
      <c r="AW149" s="89"/>
      <c r="AX149" s="89"/>
      <c r="AY149" s="89"/>
      <c r="AZ149" s="89"/>
      <c r="BA149" s="89"/>
      <c r="BB149" s="89"/>
    </row>
    <row r="150" spans="1:54" ht="21" x14ac:dyDescent="0.35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  <c r="AJ150" s="89"/>
      <c r="AK150" s="89"/>
      <c r="AL150" s="89"/>
      <c r="AM150" s="89"/>
      <c r="AN150" s="89"/>
      <c r="AO150" s="89"/>
      <c r="AP150" s="89"/>
      <c r="AQ150" s="89"/>
      <c r="AR150" s="89"/>
      <c r="AS150" s="89"/>
      <c r="AT150" s="89"/>
      <c r="AU150" s="89"/>
      <c r="AV150" s="89"/>
      <c r="AW150" s="89"/>
      <c r="AX150" s="89"/>
      <c r="AY150" s="89"/>
      <c r="AZ150" s="89"/>
      <c r="BA150" s="89"/>
      <c r="BB150" s="89"/>
    </row>
    <row r="151" spans="1:54" ht="21" x14ac:dyDescent="0.35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  <c r="AJ151" s="89"/>
      <c r="AK151" s="89"/>
      <c r="AL151" s="89"/>
      <c r="AM151" s="89"/>
      <c r="AN151" s="89"/>
      <c r="AO151" s="89"/>
      <c r="AP151" s="89"/>
      <c r="AQ151" s="89"/>
      <c r="AR151" s="89"/>
      <c r="AS151" s="89"/>
      <c r="AT151" s="89"/>
      <c r="AU151" s="89"/>
      <c r="AV151" s="89"/>
      <c r="AW151" s="89"/>
      <c r="AX151" s="89"/>
      <c r="AY151" s="89"/>
      <c r="AZ151" s="89"/>
      <c r="BA151" s="89"/>
      <c r="BB151" s="89"/>
    </row>
    <row r="152" spans="1:54" ht="21" x14ac:dyDescent="0.35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/>
      <c r="AJ152" s="89"/>
      <c r="AK152" s="89"/>
      <c r="AL152" s="89"/>
      <c r="AM152" s="89"/>
      <c r="AN152" s="89"/>
      <c r="AO152" s="89"/>
      <c r="AP152" s="89"/>
      <c r="AQ152" s="89"/>
      <c r="AR152" s="89"/>
      <c r="AS152" s="89"/>
      <c r="AT152" s="89"/>
      <c r="AU152" s="89"/>
      <c r="AV152" s="89"/>
      <c r="AW152" s="89"/>
      <c r="AX152" s="89"/>
      <c r="AY152" s="89"/>
      <c r="AZ152" s="89"/>
      <c r="BA152" s="89"/>
      <c r="BB152" s="89"/>
    </row>
    <row r="153" spans="1:54" ht="21" x14ac:dyDescent="0.35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  <c r="AH153" s="89"/>
      <c r="AI153" s="89"/>
      <c r="AJ153" s="89"/>
      <c r="AK153" s="89"/>
      <c r="AL153" s="89"/>
      <c r="AM153" s="89"/>
      <c r="AN153" s="89"/>
      <c r="AO153" s="89"/>
      <c r="AP153" s="89"/>
      <c r="AQ153" s="89"/>
      <c r="AR153" s="89"/>
      <c r="AS153" s="89"/>
      <c r="AT153" s="89"/>
      <c r="AU153" s="89"/>
      <c r="AV153" s="89"/>
      <c r="AW153" s="89"/>
      <c r="AX153" s="89"/>
      <c r="AY153" s="89"/>
      <c r="AZ153" s="89"/>
      <c r="BA153" s="89"/>
      <c r="BB153" s="89"/>
    </row>
    <row r="154" spans="1:54" ht="21" x14ac:dyDescent="0.35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  <c r="AH154" s="89"/>
      <c r="AI154" s="89"/>
      <c r="AJ154" s="89"/>
      <c r="AK154" s="89"/>
      <c r="AL154" s="89"/>
      <c r="AM154" s="89"/>
      <c r="AN154" s="89"/>
      <c r="AO154" s="89"/>
      <c r="AP154" s="89"/>
      <c r="AQ154" s="89"/>
      <c r="AR154" s="89"/>
      <c r="AS154" s="89"/>
      <c r="AT154" s="89"/>
      <c r="AU154" s="89"/>
      <c r="AV154" s="89"/>
      <c r="AW154" s="89"/>
      <c r="AX154" s="89"/>
      <c r="AY154" s="89"/>
      <c r="AZ154" s="89"/>
      <c r="BA154" s="89"/>
      <c r="BB154" s="89"/>
    </row>
    <row r="155" spans="1:54" ht="21" x14ac:dyDescent="0.35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  <c r="AJ155" s="89"/>
      <c r="AK155" s="89"/>
      <c r="AL155" s="89"/>
      <c r="AM155" s="89"/>
      <c r="AN155" s="89"/>
      <c r="AO155" s="89"/>
      <c r="AP155" s="89"/>
      <c r="AQ155" s="89"/>
      <c r="AR155" s="89"/>
      <c r="AS155" s="89"/>
      <c r="AT155" s="89"/>
      <c r="AU155" s="89"/>
      <c r="AV155" s="89"/>
      <c r="AW155" s="89"/>
      <c r="AX155" s="89"/>
      <c r="AY155" s="89"/>
      <c r="AZ155" s="89"/>
      <c r="BA155" s="89"/>
      <c r="BB155" s="89"/>
    </row>
    <row r="156" spans="1:54" ht="21" x14ac:dyDescent="0.35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89"/>
      <c r="AP156" s="89"/>
      <c r="AQ156" s="89"/>
      <c r="AR156" s="89"/>
      <c r="AS156" s="89"/>
      <c r="AT156" s="89"/>
      <c r="AU156" s="89"/>
      <c r="AV156" s="89"/>
      <c r="AW156" s="89"/>
      <c r="AX156" s="89"/>
      <c r="AY156" s="89"/>
      <c r="AZ156" s="89"/>
      <c r="BA156" s="89"/>
      <c r="BB156" s="89"/>
    </row>
    <row r="157" spans="1:54" ht="21" x14ac:dyDescent="0.35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  <c r="AE157" s="89"/>
      <c r="AF157" s="89"/>
      <c r="AG157" s="89"/>
      <c r="AH157" s="89"/>
      <c r="AI157" s="89"/>
      <c r="AJ157" s="89"/>
      <c r="AK157" s="89"/>
      <c r="AL157" s="89"/>
      <c r="AM157" s="89"/>
      <c r="AN157" s="89"/>
      <c r="AO157" s="89"/>
      <c r="AP157" s="89"/>
      <c r="AQ157" s="89"/>
      <c r="AR157" s="89"/>
      <c r="AS157" s="89"/>
      <c r="AT157" s="89"/>
      <c r="AU157" s="89"/>
      <c r="AV157" s="89"/>
      <c r="AW157" s="89"/>
      <c r="AX157" s="89"/>
      <c r="AY157" s="89"/>
      <c r="AZ157" s="89"/>
      <c r="BA157" s="89"/>
      <c r="BB157" s="89"/>
    </row>
    <row r="158" spans="1:54" ht="21" x14ac:dyDescent="0.35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  <c r="AE158" s="89"/>
      <c r="AF158" s="89"/>
      <c r="AG158" s="89"/>
      <c r="AH158" s="89"/>
      <c r="AI158" s="89"/>
      <c r="AJ158" s="89"/>
      <c r="AK158" s="89"/>
      <c r="AL158" s="89"/>
      <c r="AM158" s="89"/>
      <c r="AN158" s="89"/>
      <c r="AO158" s="89"/>
      <c r="AP158" s="89"/>
      <c r="AQ158" s="89"/>
      <c r="AR158" s="89"/>
      <c r="AS158" s="89"/>
      <c r="AT158" s="89"/>
      <c r="AU158" s="89"/>
      <c r="AV158" s="89"/>
      <c r="AW158" s="89"/>
      <c r="AX158" s="89"/>
      <c r="AY158" s="89"/>
      <c r="AZ158" s="89"/>
      <c r="BA158" s="89"/>
      <c r="BB158" s="89"/>
    </row>
    <row r="159" spans="1:54" ht="21" x14ac:dyDescent="0.35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  <c r="AH159" s="89"/>
      <c r="AI159" s="89"/>
      <c r="AJ159" s="89"/>
      <c r="AK159" s="89"/>
      <c r="AL159" s="89"/>
      <c r="AM159" s="89"/>
      <c r="AN159" s="89"/>
      <c r="AO159" s="89"/>
      <c r="AP159" s="89"/>
      <c r="AQ159" s="89"/>
      <c r="AR159" s="89"/>
      <c r="AS159" s="89"/>
      <c r="AT159" s="89"/>
      <c r="AU159" s="89"/>
      <c r="AV159" s="89"/>
      <c r="AW159" s="89"/>
      <c r="AX159" s="89"/>
      <c r="AY159" s="89"/>
      <c r="AZ159" s="89"/>
      <c r="BA159" s="89"/>
      <c r="BB159" s="89"/>
    </row>
    <row r="160" spans="1:54" ht="21" x14ac:dyDescent="0.35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  <c r="AK160" s="89"/>
      <c r="AL160" s="89"/>
      <c r="AM160" s="89"/>
      <c r="AN160" s="89"/>
      <c r="AO160" s="89"/>
      <c r="AP160" s="89"/>
      <c r="AQ160" s="89"/>
      <c r="AR160" s="89"/>
      <c r="AS160" s="89"/>
      <c r="AT160" s="89"/>
      <c r="AU160" s="89"/>
      <c r="AV160" s="89"/>
      <c r="AW160" s="89"/>
      <c r="AX160" s="89"/>
      <c r="AY160" s="89"/>
      <c r="AZ160" s="89"/>
      <c r="BA160" s="89"/>
      <c r="BB160" s="89"/>
    </row>
    <row r="161" spans="1:54" ht="21" x14ac:dyDescent="0.35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  <c r="AJ161" s="89"/>
      <c r="AK161" s="89"/>
      <c r="AL161" s="89"/>
      <c r="AM161" s="89"/>
      <c r="AN161" s="89"/>
      <c r="AO161" s="89"/>
      <c r="AP161" s="89"/>
      <c r="AQ161" s="89"/>
      <c r="AR161" s="89"/>
      <c r="AS161" s="89"/>
      <c r="AT161" s="89"/>
      <c r="AU161" s="89"/>
      <c r="AV161" s="89"/>
      <c r="AW161" s="89"/>
      <c r="AX161" s="89"/>
      <c r="AY161" s="89"/>
      <c r="AZ161" s="89"/>
      <c r="BA161" s="89"/>
      <c r="BB161" s="89"/>
    </row>
    <row r="162" spans="1:54" ht="21" x14ac:dyDescent="0.35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  <c r="AE162" s="89"/>
      <c r="AF162" s="89"/>
      <c r="AG162" s="89"/>
      <c r="AH162" s="89"/>
      <c r="AI162" s="89"/>
      <c r="AJ162" s="89"/>
      <c r="AK162" s="89"/>
      <c r="AL162" s="89"/>
      <c r="AM162" s="89"/>
      <c r="AN162" s="89"/>
      <c r="AO162" s="89"/>
      <c r="AP162" s="89"/>
      <c r="AQ162" s="89"/>
      <c r="AR162" s="89"/>
      <c r="AS162" s="89"/>
      <c r="AT162" s="89"/>
      <c r="AU162" s="89"/>
      <c r="AV162" s="89"/>
      <c r="AW162" s="89"/>
      <c r="AX162" s="89"/>
      <c r="AY162" s="89"/>
      <c r="AZ162" s="89"/>
      <c r="BA162" s="89"/>
      <c r="BB162" s="89"/>
    </row>
    <row r="163" spans="1:54" ht="21" x14ac:dyDescent="0.35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  <c r="AE163" s="89"/>
      <c r="AF163" s="89"/>
      <c r="AG163" s="89"/>
      <c r="AH163" s="89"/>
      <c r="AI163" s="89"/>
      <c r="AJ163" s="89"/>
      <c r="AK163" s="89"/>
      <c r="AL163" s="89"/>
      <c r="AM163" s="89"/>
      <c r="AN163" s="89"/>
      <c r="AO163" s="89"/>
      <c r="AP163" s="89"/>
      <c r="AQ163" s="89"/>
      <c r="AR163" s="89"/>
      <c r="AS163" s="89"/>
      <c r="AT163" s="89"/>
      <c r="AU163" s="89"/>
      <c r="AV163" s="89"/>
      <c r="AW163" s="89"/>
      <c r="AX163" s="89"/>
      <c r="AY163" s="89"/>
      <c r="AZ163" s="89"/>
      <c r="BA163" s="89"/>
      <c r="BB163" s="89"/>
    </row>
    <row r="164" spans="1:54" ht="21" x14ac:dyDescent="0.35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  <c r="AE164" s="89"/>
      <c r="AF164" s="89"/>
      <c r="AG164" s="89"/>
      <c r="AH164" s="89"/>
      <c r="AI164" s="89"/>
      <c r="AJ164" s="89"/>
      <c r="AK164" s="89"/>
      <c r="AL164" s="89"/>
      <c r="AM164" s="89"/>
      <c r="AN164" s="89"/>
      <c r="AO164" s="89"/>
      <c r="AP164" s="89"/>
      <c r="AQ164" s="89"/>
      <c r="AR164" s="89"/>
      <c r="AS164" s="89"/>
      <c r="AT164" s="89"/>
      <c r="AU164" s="89"/>
      <c r="AV164" s="89"/>
      <c r="AW164" s="89"/>
      <c r="AX164" s="89"/>
      <c r="AY164" s="89"/>
      <c r="AZ164" s="89"/>
      <c r="BA164" s="89"/>
      <c r="BB164" s="89"/>
    </row>
    <row r="165" spans="1:54" ht="21" x14ac:dyDescent="0.35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  <c r="AE165" s="89"/>
      <c r="AF165" s="89"/>
      <c r="AG165" s="89"/>
      <c r="AH165" s="89"/>
      <c r="AI165" s="89"/>
      <c r="AJ165" s="89"/>
      <c r="AK165" s="89"/>
      <c r="AL165" s="89"/>
      <c r="AM165" s="89"/>
      <c r="AN165" s="89"/>
      <c r="AO165" s="89"/>
      <c r="AP165" s="89"/>
      <c r="AQ165" s="89"/>
      <c r="AR165" s="89"/>
      <c r="AS165" s="89"/>
      <c r="AT165" s="89"/>
      <c r="AU165" s="89"/>
      <c r="AV165" s="89"/>
      <c r="AW165" s="89"/>
      <c r="AX165" s="89"/>
      <c r="AY165" s="89"/>
      <c r="AZ165" s="89"/>
      <c r="BA165" s="89"/>
      <c r="BB165" s="89"/>
    </row>
    <row r="166" spans="1:54" ht="21" x14ac:dyDescent="0.35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  <c r="AE166" s="89"/>
      <c r="AF166" s="89"/>
      <c r="AG166" s="89"/>
      <c r="AH166" s="89"/>
      <c r="AI166" s="89"/>
      <c r="AJ166" s="89"/>
      <c r="AK166" s="89"/>
      <c r="AL166" s="89"/>
      <c r="AM166" s="89"/>
      <c r="AN166" s="89"/>
      <c r="AO166" s="89"/>
      <c r="AP166" s="89"/>
      <c r="AQ166" s="89"/>
      <c r="AR166" s="89"/>
      <c r="AS166" s="89"/>
      <c r="AT166" s="89"/>
      <c r="AU166" s="89"/>
      <c r="AV166" s="89"/>
      <c r="AW166" s="89"/>
      <c r="AX166" s="89"/>
      <c r="AY166" s="89"/>
      <c r="AZ166" s="89"/>
      <c r="BA166" s="89"/>
      <c r="BB166" s="89"/>
    </row>
    <row r="167" spans="1:54" ht="21" x14ac:dyDescent="0.35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  <c r="AE167" s="89"/>
      <c r="AF167" s="89"/>
      <c r="AG167" s="89"/>
      <c r="AH167" s="89"/>
      <c r="AI167" s="89"/>
      <c r="AJ167" s="89"/>
      <c r="AK167" s="89"/>
      <c r="AL167" s="89"/>
      <c r="AM167" s="89"/>
      <c r="AN167" s="89"/>
      <c r="AO167" s="89"/>
      <c r="AP167" s="89"/>
      <c r="AQ167" s="89"/>
      <c r="AR167" s="89"/>
      <c r="AS167" s="89"/>
      <c r="AT167" s="89"/>
      <c r="AU167" s="89"/>
      <c r="AV167" s="89"/>
      <c r="AW167" s="89"/>
      <c r="AX167" s="89"/>
      <c r="AY167" s="89"/>
      <c r="AZ167" s="89"/>
      <c r="BA167" s="89"/>
      <c r="BB167" s="89"/>
    </row>
    <row r="168" spans="1:54" ht="21" x14ac:dyDescent="0.35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  <c r="AE168" s="89"/>
      <c r="AF168" s="89"/>
      <c r="AG168" s="89"/>
      <c r="AH168" s="89"/>
      <c r="AI168" s="89"/>
      <c r="AJ168" s="89"/>
      <c r="AK168" s="89"/>
      <c r="AL168" s="89"/>
      <c r="AM168" s="89"/>
      <c r="AN168" s="89"/>
      <c r="AO168" s="89"/>
      <c r="AP168" s="89"/>
      <c r="AQ168" s="89"/>
      <c r="AR168" s="89"/>
      <c r="AS168" s="89"/>
      <c r="AT168" s="89"/>
      <c r="AU168" s="89"/>
      <c r="AV168" s="89"/>
      <c r="AW168" s="89"/>
      <c r="AX168" s="89"/>
      <c r="AY168" s="89"/>
      <c r="AZ168" s="89"/>
      <c r="BA168" s="89"/>
      <c r="BB168" s="89"/>
    </row>
    <row r="169" spans="1:54" ht="21" x14ac:dyDescent="0.35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  <c r="AE169" s="89"/>
      <c r="AF169" s="89"/>
      <c r="AG169" s="89"/>
      <c r="AH169" s="89"/>
      <c r="AI169" s="89"/>
      <c r="AJ169" s="89"/>
      <c r="AK169" s="89"/>
      <c r="AL169" s="89"/>
      <c r="AM169" s="89"/>
      <c r="AN169" s="89"/>
      <c r="AO169" s="89"/>
      <c r="AP169" s="89"/>
      <c r="AQ169" s="89"/>
      <c r="AR169" s="89"/>
      <c r="AS169" s="89"/>
      <c r="AT169" s="89"/>
      <c r="AU169" s="89"/>
      <c r="AV169" s="89"/>
      <c r="AW169" s="89"/>
      <c r="AX169" s="89"/>
      <c r="AY169" s="89"/>
      <c r="AZ169" s="89"/>
      <c r="BA169" s="89"/>
      <c r="BB169" s="89"/>
    </row>
    <row r="170" spans="1:54" ht="21" x14ac:dyDescent="0.35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  <c r="AE170" s="89"/>
      <c r="AF170" s="89"/>
      <c r="AG170" s="89"/>
      <c r="AH170" s="89"/>
      <c r="AI170" s="89"/>
      <c r="AJ170" s="89"/>
      <c r="AK170" s="89"/>
      <c r="AL170" s="89"/>
      <c r="AM170" s="89"/>
      <c r="AN170" s="89"/>
      <c r="AO170" s="89"/>
      <c r="AP170" s="89"/>
      <c r="AQ170" s="89"/>
      <c r="AR170" s="89"/>
      <c r="AS170" s="89"/>
      <c r="AT170" s="89"/>
      <c r="AU170" s="89"/>
      <c r="AV170" s="89"/>
      <c r="AW170" s="89"/>
      <c r="AX170" s="89"/>
      <c r="AY170" s="89"/>
      <c r="AZ170" s="89"/>
      <c r="BA170" s="89"/>
      <c r="BB170" s="89"/>
    </row>
    <row r="171" spans="1:54" ht="21" x14ac:dyDescent="0.35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  <c r="AJ171" s="89"/>
      <c r="AK171" s="89"/>
      <c r="AL171" s="89"/>
      <c r="AM171" s="89"/>
      <c r="AN171" s="89"/>
      <c r="AO171" s="89"/>
      <c r="AP171" s="89"/>
      <c r="AQ171" s="89"/>
      <c r="AR171" s="89"/>
      <c r="AS171" s="89"/>
      <c r="AT171" s="89"/>
      <c r="AU171" s="89"/>
      <c r="AV171" s="89"/>
      <c r="AW171" s="89"/>
      <c r="AX171" s="89"/>
      <c r="AY171" s="89"/>
      <c r="AZ171" s="89"/>
      <c r="BA171" s="89"/>
      <c r="BB171" s="89"/>
    </row>
    <row r="172" spans="1:54" ht="21" x14ac:dyDescent="0.35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  <c r="AE172" s="89"/>
      <c r="AF172" s="89"/>
      <c r="AG172" s="89"/>
      <c r="AH172" s="89"/>
      <c r="AI172" s="89"/>
      <c r="AJ172" s="89"/>
      <c r="AK172" s="89"/>
      <c r="AL172" s="89"/>
      <c r="AM172" s="89"/>
      <c r="AN172" s="89"/>
      <c r="AO172" s="89"/>
      <c r="AP172" s="89"/>
      <c r="AQ172" s="89"/>
      <c r="AR172" s="89"/>
      <c r="AS172" s="89"/>
      <c r="AT172" s="89"/>
      <c r="AU172" s="89"/>
      <c r="AV172" s="89"/>
      <c r="AW172" s="89"/>
      <c r="AX172" s="89"/>
      <c r="AY172" s="89"/>
      <c r="AZ172" s="89"/>
      <c r="BA172" s="89"/>
      <c r="BB172" s="89"/>
    </row>
    <row r="173" spans="1:54" ht="21" x14ac:dyDescent="0.35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  <c r="AE173" s="89"/>
      <c r="AF173" s="89"/>
      <c r="AG173" s="89"/>
      <c r="AH173" s="89"/>
      <c r="AI173" s="89"/>
      <c r="AJ173" s="89"/>
      <c r="AK173" s="89"/>
      <c r="AL173" s="89"/>
      <c r="AM173" s="89"/>
      <c r="AN173" s="89"/>
      <c r="AO173" s="89"/>
      <c r="AP173" s="89"/>
      <c r="AQ173" s="89"/>
      <c r="AR173" s="89"/>
      <c r="AS173" s="89"/>
      <c r="AT173" s="89"/>
      <c r="AU173" s="89"/>
      <c r="AV173" s="89"/>
      <c r="AW173" s="89"/>
      <c r="AX173" s="89"/>
      <c r="AY173" s="89"/>
      <c r="AZ173" s="89"/>
      <c r="BA173" s="89"/>
      <c r="BB173" s="89"/>
    </row>
    <row r="174" spans="1:54" ht="21" x14ac:dyDescent="0.35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  <c r="AN174" s="89"/>
      <c r="AO174" s="89"/>
      <c r="AP174" s="89"/>
      <c r="AQ174" s="89"/>
      <c r="AR174" s="89"/>
      <c r="AS174" s="89"/>
      <c r="AT174" s="89"/>
      <c r="AU174" s="89"/>
      <c r="AV174" s="89"/>
      <c r="AW174" s="89"/>
      <c r="AX174" s="89"/>
      <c r="AY174" s="89"/>
      <c r="AZ174" s="89"/>
      <c r="BA174" s="89"/>
      <c r="BB174" s="89"/>
    </row>
    <row r="175" spans="1:54" ht="21" x14ac:dyDescent="0.35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  <c r="AD175" s="89"/>
      <c r="AE175" s="89"/>
      <c r="AF175" s="89"/>
      <c r="AG175" s="89"/>
      <c r="AH175" s="89"/>
      <c r="AI175" s="89"/>
      <c r="AJ175" s="89"/>
      <c r="AK175" s="89"/>
      <c r="AL175" s="89"/>
      <c r="AM175" s="89"/>
      <c r="AN175" s="89"/>
      <c r="AO175" s="89"/>
      <c r="AP175" s="89"/>
      <c r="AQ175" s="89"/>
      <c r="AR175" s="89"/>
      <c r="AS175" s="89"/>
      <c r="AT175" s="89"/>
      <c r="AU175" s="89"/>
      <c r="AV175" s="89"/>
      <c r="AW175" s="89"/>
      <c r="AX175" s="89"/>
      <c r="AY175" s="89"/>
      <c r="AZ175" s="89"/>
      <c r="BA175" s="89"/>
      <c r="BB175" s="89"/>
    </row>
    <row r="176" spans="1:54" ht="21" x14ac:dyDescent="0.35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  <c r="AD176" s="89"/>
      <c r="AE176" s="89"/>
      <c r="AF176" s="89"/>
      <c r="AG176" s="89"/>
      <c r="AH176" s="89"/>
      <c r="AI176" s="89"/>
      <c r="AJ176" s="89"/>
      <c r="AK176" s="89"/>
      <c r="AL176" s="89"/>
      <c r="AM176" s="89"/>
      <c r="AN176" s="89"/>
      <c r="AO176" s="89"/>
      <c r="AP176" s="89"/>
      <c r="AQ176" s="89"/>
      <c r="AR176" s="89"/>
      <c r="AS176" s="89"/>
      <c r="AT176" s="89"/>
      <c r="AU176" s="89"/>
      <c r="AV176" s="89"/>
      <c r="AW176" s="89"/>
      <c r="AX176" s="89"/>
      <c r="AY176" s="89"/>
      <c r="AZ176" s="89"/>
      <c r="BA176" s="89"/>
      <c r="BB176" s="89"/>
    </row>
    <row r="177" spans="1:54" ht="21" x14ac:dyDescent="0.35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  <c r="AE177" s="89"/>
      <c r="AF177" s="89"/>
      <c r="AG177" s="89"/>
      <c r="AH177" s="89"/>
      <c r="AI177" s="89"/>
      <c r="AJ177" s="89"/>
      <c r="AK177" s="89"/>
      <c r="AL177" s="89"/>
      <c r="AM177" s="89"/>
      <c r="AN177" s="89"/>
      <c r="AO177" s="89"/>
      <c r="AP177" s="89"/>
      <c r="AQ177" s="89"/>
      <c r="AR177" s="89"/>
      <c r="AS177" s="89"/>
      <c r="AT177" s="89"/>
      <c r="AU177" s="89"/>
      <c r="AV177" s="89"/>
      <c r="AW177" s="89"/>
      <c r="AX177" s="89"/>
      <c r="AY177" s="89"/>
      <c r="AZ177" s="89"/>
      <c r="BA177" s="89"/>
      <c r="BB177" s="89"/>
    </row>
    <row r="178" spans="1:54" ht="21" x14ac:dyDescent="0.35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  <c r="AK178" s="89"/>
      <c r="AL178" s="89"/>
      <c r="AM178" s="89"/>
      <c r="AN178" s="89"/>
      <c r="AO178" s="89"/>
      <c r="AP178" s="89"/>
      <c r="AQ178" s="89"/>
      <c r="AR178" s="89"/>
      <c r="AS178" s="89"/>
      <c r="AT178" s="89"/>
      <c r="AU178" s="89"/>
      <c r="AV178" s="89"/>
      <c r="AW178" s="89"/>
      <c r="AX178" s="89"/>
      <c r="AY178" s="89"/>
      <c r="AZ178" s="89"/>
      <c r="BA178" s="89"/>
      <c r="BB178" s="89"/>
    </row>
    <row r="179" spans="1:54" ht="21" x14ac:dyDescent="0.35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  <c r="AI179" s="89"/>
      <c r="AJ179" s="89"/>
      <c r="AK179" s="89"/>
      <c r="AL179" s="89"/>
      <c r="AM179" s="89"/>
      <c r="AN179" s="89"/>
      <c r="AO179" s="89"/>
      <c r="AP179" s="89"/>
      <c r="AQ179" s="89"/>
      <c r="AR179" s="89"/>
      <c r="AS179" s="89"/>
      <c r="AT179" s="89"/>
      <c r="AU179" s="89"/>
      <c r="AV179" s="89"/>
      <c r="AW179" s="89"/>
      <c r="AX179" s="89"/>
      <c r="AY179" s="89"/>
      <c r="AZ179" s="89"/>
      <c r="BA179" s="89"/>
      <c r="BB179" s="89"/>
    </row>
    <row r="180" spans="1:54" ht="21" x14ac:dyDescent="0.35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  <c r="AE180" s="89"/>
      <c r="AF180" s="89"/>
      <c r="AG180" s="89"/>
      <c r="AH180" s="89"/>
      <c r="AI180" s="89"/>
      <c r="AJ180" s="89"/>
      <c r="AK180" s="89"/>
      <c r="AL180" s="89"/>
      <c r="AM180" s="89"/>
      <c r="AN180" s="89"/>
      <c r="AO180" s="89"/>
      <c r="AP180" s="89"/>
      <c r="AQ180" s="89"/>
      <c r="AR180" s="89"/>
      <c r="AS180" s="89"/>
      <c r="AT180" s="89"/>
      <c r="AU180" s="89"/>
      <c r="AV180" s="89"/>
      <c r="AW180" s="89"/>
      <c r="AX180" s="89"/>
      <c r="AY180" s="89"/>
      <c r="AZ180" s="89"/>
      <c r="BA180" s="89"/>
      <c r="BB180" s="89"/>
    </row>
    <row r="181" spans="1:54" ht="21" x14ac:dyDescent="0.35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  <c r="AE181" s="89"/>
      <c r="AF181" s="89"/>
      <c r="AG181" s="89"/>
      <c r="AH181" s="89"/>
      <c r="AI181" s="89"/>
      <c r="AJ181" s="89"/>
      <c r="AK181" s="89"/>
      <c r="AL181" s="89"/>
      <c r="AM181" s="89"/>
      <c r="AN181" s="89"/>
      <c r="AO181" s="89"/>
      <c r="AP181" s="89"/>
      <c r="AQ181" s="89"/>
      <c r="AR181" s="89"/>
      <c r="AS181" s="89"/>
      <c r="AT181" s="89"/>
      <c r="AU181" s="89"/>
      <c r="AV181" s="89"/>
      <c r="AW181" s="89"/>
      <c r="AX181" s="89"/>
      <c r="AY181" s="89"/>
      <c r="AZ181" s="89"/>
      <c r="BA181" s="89"/>
      <c r="BB181" s="89"/>
    </row>
    <row r="182" spans="1:54" ht="21" x14ac:dyDescent="0.35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  <c r="AG182" s="89"/>
      <c r="AH182" s="89"/>
      <c r="AI182" s="89"/>
      <c r="AJ182" s="89"/>
      <c r="AK182" s="89"/>
      <c r="AL182" s="89"/>
      <c r="AM182" s="89"/>
      <c r="AN182" s="89"/>
      <c r="AO182" s="89"/>
      <c r="AP182" s="89"/>
      <c r="AQ182" s="89"/>
      <c r="AR182" s="89"/>
      <c r="AS182" s="89"/>
      <c r="AT182" s="89"/>
      <c r="AU182" s="89"/>
      <c r="AV182" s="89"/>
      <c r="AW182" s="89"/>
      <c r="AX182" s="89"/>
      <c r="AY182" s="89"/>
      <c r="AZ182" s="89"/>
      <c r="BA182" s="89"/>
      <c r="BB182" s="89"/>
    </row>
    <row r="183" spans="1:54" ht="21" x14ac:dyDescent="0.35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  <c r="AJ183" s="89"/>
      <c r="AK183" s="89"/>
      <c r="AL183" s="89"/>
      <c r="AM183" s="89"/>
      <c r="AN183" s="89"/>
      <c r="AO183" s="89"/>
      <c r="AP183" s="89"/>
      <c r="AQ183" s="89"/>
      <c r="AR183" s="89"/>
      <c r="AS183" s="89"/>
      <c r="AT183" s="89"/>
      <c r="AU183" s="89"/>
      <c r="AV183" s="89"/>
      <c r="AW183" s="89"/>
      <c r="AX183" s="89"/>
      <c r="AY183" s="89"/>
      <c r="AZ183" s="89"/>
      <c r="BA183" s="89"/>
      <c r="BB183" s="89"/>
    </row>
    <row r="184" spans="1:54" ht="21" x14ac:dyDescent="0.35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  <c r="AI184" s="89"/>
      <c r="AJ184" s="89"/>
      <c r="AK184" s="89"/>
      <c r="AL184" s="89"/>
      <c r="AM184" s="89"/>
      <c r="AN184" s="89"/>
      <c r="AO184" s="89"/>
      <c r="AP184" s="89"/>
      <c r="AQ184" s="89"/>
      <c r="AR184" s="89"/>
      <c r="AS184" s="89"/>
      <c r="AT184" s="89"/>
      <c r="AU184" s="89"/>
      <c r="AV184" s="89"/>
      <c r="AW184" s="89"/>
      <c r="AX184" s="89"/>
      <c r="AY184" s="89"/>
      <c r="AZ184" s="89"/>
      <c r="BA184" s="89"/>
      <c r="BB184" s="89"/>
    </row>
    <row r="185" spans="1:54" ht="21" x14ac:dyDescent="0.35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  <c r="AE185" s="89"/>
      <c r="AF185" s="89"/>
      <c r="AG185" s="89"/>
      <c r="AH185" s="89"/>
      <c r="AI185" s="89"/>
      <c r="AJ185" s="89"/>
      <c r="AK185" s="89"/>
      <c r="AL185" s="89"/>
      <c r="AM185" s="89"/>
      <c r="AN185" s="89"/>
      <c r="AO185" s="89"/>
      <c r="AP185" s="89"/>
      <c r="AQ185" s="89"/>
      <c r="AR185" s="89"/>
      <c r="AS185" s="89"/>
      <c r="AT185" s="89"/>
      <c r="AU185" s="89"/>
      <c r="AV185" s="89"/>
      <c r="AW185" s="89"/>
      <c r="AX185" s="89"/>
      <c r="AY185" s="89"/>
      <c r="AZ185" s="89"/>
      <c r="BA185" s="89"/>
      <c r="BB185" s="89"/>
    </row>
    <row r="186" spans="1:54" ht="21" x14ac:dyDescent="0.35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  <c r="AD186" s="89"/>
      <c r="AE186" s="89"/>
      <c r="AF186" s="89"/>
      <c r="AG186" s="89"/>
      <c r="AH186" s="89"/>
      <c r="AI186" s="89"/>
      <c r="AJ186" s="89"/>
      <c r="AK186" s="89"/>
      <c r="AL186" s="89"/>
      <c r="AM186" s="89"/>
      <c r="AN186" s="89"/>
      <c r="AO186" s="89"/>
      <c r="AP186" s="89"/>
      <c r="AQ186" s="89"/>
      <c r="AR186" s="89"/>
      <c r="AS186" s="89"/>
      <c r="AT186" s="89"/>
      <c r="AU186" s="89"/>
      <c r="AV186" s="89"/>
      <c r="AW186" s="89"/>
      <c r="AX186" s="89"/>
      <c r="AY186" s="89"/>
      <c r="AZ186" s="89"/>
      <c r="BA186" s="89"/>
      <c r="BB186" s="89"/>
    </row>
    <row r="187" spans="1:54" ht="21" x14ac:dyDescent="0.35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  <c r="AD187" s="89"/>
      <c r="AE187" s="89"/>
      <c r="AF187" s="89"/>
      <c r="AG187" s="89"/>
      <c r="AH187" s="89"/>
      <c r="AI187" s="89"/>
      <c r="AJ187" s="89"/>
      <c r="AK187" s="89"/>
      <c r="AL187" s="89"/>
      <c r="AM187" s="89"/>
      <c r="AN187" s="89"/>
      <c r="AO187" s="89"/>
      <c r="AP187" s="89"/>
      <c r="AQ187" s="89"/>
      <c r="AR187" s="89"/>
      <c r="AS187" s="89"/>
      <c r="AT187" s="89"/>
      <c r="AU187" s="89"/>
      <c r="AV187" s="89"/>
      <c r="AW187" s="89"/>
      <c r="AX187" s="89"/>
      <c r="AY187" s="89"/>
      <c r="AZ187" s="89"/>
      <c r="BA187" s="89"/>
      <c r="BB187" s="89"/>
    </row>
    <row r="188" spans="1:54" ht="21" x14ac:dyDescent="0.35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  <c r="AD188" s="89"/>
      <c r="AE188" s="89"/>
      <c r="AF188" s="89"/>
      <c r="AG188" s="89"/>
      <c r="AH188" s="89"/>
      <c r="AI188" s="89"/>
      <c r="AJ188" s="89"/>
      <c r="AK188" s="89"/>
      <c r="AL188" s="89"/>
      <c r="AM188" s="89"/>
      <c r="AN188" s="89"/>
      <c r="AO188" s="89"/>
      <c r="AP188" s="89"/>
      <c r="AQ188" s="89"/>
      <c r="AR188" s="89"/>
      <c r="AS188" s="89"/>
      <c r="AT188" s="89"/>
      <c r="AU188" s="89"/>
      <c r="AV188" s="89"/>
      <c r="AW188" s="89"/>
      <c r="AX188" s="89"/>
      <c r="AY188" s="89"/>
      <c r="AZ188" s="89"/>
      <c r="BA188" s="89"/>
      <c r="BB188" s="89"/>
    </row>
    <row r="189" spans="1:54" ht="21" x14ac:dyDescent="0.35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  <c r="AD189" s="89"/>
      <c r="AE189" s="89"/>
      <c r="AF189" s="89"/>
      <c r="AG189" s="89"/>
      <c r="AH189" s="89"/>
      <c r="AI189" s="89"/>
      <c r="AJ189" s="89"/>
      <c r="AK189" s="89"/>
      <c r="AL189" s="89"/>
      <c r="AM189" s="89"/>
      <c r="AN189" s="89"/>
      <c r="AO189" s="89"/>
      <c r="AP189" s="89"/>
      <c r="AQ189" s="89"/>
      <c r="AR189" s="89"/>
      <c r="AS189" s="89"/>
      <c r="AT189" s="89"/>
      <c r="AU189" s="89"/>
      <c r="AV189" s="89"/>
      <c r="AW189" s="89"/>
      <c r="AX189" s="89"/>
      <c r="AY189" s="89"/>
      <c r="AZ189" s="89"/>
      <c r="BA189" s="89"/>
      <c r="BB189" s="89"/>
    </row>
    <row r="190" spans="1:54" ht="21" x14ac:dyDescent="0.35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  <c r="AD190" s="89"/>
      <c r="AE190" s="89"/>
      <c r="AF190" s="89"/>
      <c r="AG190" s="89"/>
      <c r="AH190" s="89"/>
      <c r="AI190" s="89"/>
      <c r="AJ190" s="89"/>
      <c r="AK190" s="89"/>
      <c r="AL190" s="89"/>
      <c r="AM190" s="89"/>
      <c r="AN190" s="89"/>
      <c r="AO190" s="89"/>
      <c r="AP190" s="89"/>
      <c r="AQ190" s="89"/>
      <c r="AR190" s="89"/>
      <c r="AS190" s="89"/>
      <c r="AT190" s="89"/>
      <c r="AU190" s="89"/>
      <c r="AV190" s="89"/>
      <c r="AW190" s="89"/>
      <c r="AX190" s="89"/>
      <c r="AY190" s="89"/>
      <c r="AZ190" s="89"/>
      <c r="BA190" s="89"/>
      <c r="BB190" s="89"/>
    </row>
    <row r="191" spans="1:54" ht="21" x14ac:dyDescent="0.35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/>
      <c r="AJ191" s="89"/>
      <c r="AK191" s="89"/>
      <c r="AL191" s="89"/>
      <c r="AM191" s="89"/>
      <c r="AN191" s="89"/>
      <c r="AO191" s="89"/>
      <c r="AP191" s="89"/>
      <c r="AQ191" s="89"/>
      <c r="AR191" s="89"/>
      <c r="AS191" s="89"/>
      <c r="AT191" s="89"/>
      <c r="AU191" s="89"/>
      <c r="AV191" s="89"/>
      <c r="AW191" s="89"/>
      <c r="AX191" s="89"/>
      <c r="AY191" s="89"/>
      <c r="AZ191" s="89"/>
      <c r="BA191" s="89"/>
      <c r="BB191" s="89"/>
    </row>
    <row r="192" spans="1:54" ht="21" x14ac:dyDescent="0.35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  <c r="AD192" s="89"/>
      <c r="AE192" s="89"/>
      <c r="AF192" s="89"/>
      <c r="AG192" s="89"/>
      <c r="AH192" s="89"/>
      <c r="AI192" s="89"/>
      <c r="AJ192" s="89"/>
      <c r="AK192" s="89"/>
      <c r="AL192" s="89"/>
      <c r="AM192" s="89"/>
      <c r="AN192" s="89"/>
      <c r="AO192" s="89"/>
      <c r="AP192" s="89"/>
      <c r="AQ192" s="89"/>
      <c r="AR192" s="89"/>
      <c r="AS192" s="89"/>
      <c r="AT192" s="89"/>
      <c r="AU192" s="89"/>
      <c r="AV192" s="89"/>
      <c r="AW192" s="89"/>
      <c r="AX192" s="89"/>
      <c r="AY192" s="89"/>
      <c r="AZ192" s="89"/>
      <c r="BA192" s="89"/>
      <c r="BB192" s="89"/>
    </row>
    <row r="193" spans="1:54" ht="21" x14ac:dyDescent="0.35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  <c r="AJ193" s="89"/>
      <c r="AK193" s="89"/>
      <c r="AL193" s="89"/>
      <c r="AM193" s="89"/>
      <c r="AN193" s="89"/>
      <c r="AO193" s="89"/>
      <c r="AP193" s="89"/>
      <c r="AQ193" s="89"/>
      <c r="AR193" s="89"/>
      <c r="AS193" s="89"/>
      <c r="AT193" s="89"/>
      <c r="AU193" s="89"/>
      <c r="AV193" s="89"/>
      <c r="AW193" s="89"/>
      <c r="AX193" s="89"/>
      <c r="AY193" s="89"/>
      <c r="AZ193" s="89"/>
      <c r="BA193" s="89"/>
      <c r="BB193" s="89"/>
    </row>
    <row r="194" spans="1:54" ht="21" x14ac:dyDescent="0.35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  <c r="AE194" s="89"/>
      <c r="AF194" s="89"/>
      <c r="AG194" s="89"/>
      <c r="AH194" s="89"/>
      <c r="AI194" s="89"/>
      <c r="AJ194" s="89"/>
      <c r="AK194" s="89"/>
      <c r="AL194" s="89"/>
      <c r="AM194" s="89"/>
      <c r="AN194" s="89"/>
      <c r="AO194" s="89"/>
      <c r="AP194" s="89"/>
      <c r="AQ194" s="89"/>
      <c r="AR194" s="89"/>
      <c r="AS194" s="89"/>
      <c r="AT194" s="89"/>
      <c r="AU194" s="89"/>
      <c r="AV194" s="89"/>
      <c r="AW194" s="89"/>
      <c r="AX194" s="89"/>
      <c r="AY194" s="89"/>
      <c r="AZ194" s="89"/>
      <c r="BA194" s="89"/>
      <c r="BB194" s="89"/>
    </row>
    <row r="195" spans="1:54" ht="21" x14ac:dyDescent="0.35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  <c r="AE195" s="89"/>
      <c r="AF195" s="89"/>
      <c r="AG195" s="89"/>
      <c r="AH195" s="89"/>
      <c r="AI195" s="89"/>
      <c r="AJ195" s="89"/>
      <c r="AK195" s="89"/>
      <c r="AL195" s="89"/>
      <c r="AM195" s="89"/>
      <c r="AN195" s="89"/>
      <c r="AO195" s="89"/>
      <c r="AP195" s="89"/>
      <c r="AQ195" s="89"/>
      <c r="AR195" s="89"/>
      <c r="AS195" s="89"/>
      <c r="AT195" s="89"/>
      <c r="AU195" s="89"/>
      <c r="AV195" s="89"/>
      <c r="AW195" s="89"/>
      <c r="AX195" s="89"/>
      <c r="AY195" s="89"/>
      <c r="AZ195" s="89"/>
      <c r="BA195" s="89"/>
      <c r="BB195" s="89"/>
    </row>
    <row r="196" spans="1:54" ht="21" x14ac:dyDescent="0.35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  <c r="AD196" s="89"/>
      <c r="AE196" s="89"/>
      <c r="AF196" s="89"/>
      <c r="AG196" s="89"/>
      <c r="AH196" s="89"/>
      <c r="AI196" s="89"/>
      <c r="AJ196" s="89"/>
      <c r="AK196" s="89"/>
      <c r="AL196" s="89"/>
      <c r="AM196" s="89"/>
      <c r="AN196" s="89"/>
      <c r="AO196" s="89"/>
      <c r="AP196" s="89"/>
      <c r="AQ196" s="89"/>
      <c r="AR196" s="89"/>
      <c r="AS196" s="89"/>
      <c r="AT196" s="89"/>
      <c r="AU196" s="89"/>
      <c r="AV196" s="89"/>
      <c r="AW196" s="89"/>
      <c r="AX196" s="89"/>
      <c r="AY196" s="89"/>
      <c r="AZ196" s="89"/>
      <c r="BA196" s="89"/>
      <c r="BB196" s="89"/>
    </row>
    <row r="197" spans="1:54" ht="21" x14ac:dyDescent="0.35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  <c r="AE197" s="89"/>
      <c r="AF197" s="89"/>
      <c r="AG197" s="89"/>
      <c r="AH197" s="89"/>
      <c r="AI197" s="89"/>
      <c r="AJ197" s="89"/>
      <c r="AK197" s="89"/>
      <c r="AL197" s="89"/>
      <c r="AM197" s="89"/>
      <c r="AN197" s="89"/>
      <c r="AO197" s="89"/>
      <c r="AP197" s="89"/>
      <c r="AQ197" s="89"/>
      <c r="AR197" s="89"/>
      <c r="AS197" s="89"/>
      <c r="AT197" s="89"/>
      <c r="AU197" s="89"/>
      <c r="AV197" s="89"/>
      <c r="AW197" s="89"/>
      <c r="AX197" s="89"/>
      <c r="AY197" s="89"/>
      <c r="AZ197" s="89"/>
      <c r="BA197" s="89"/>
      <c r="BB197" s="89"/>
    </row>
    <row r="198" spans="1:54" ht="21" x14ac:dyDescent="0.35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  <c r="AD198" s="89"/>
      <c r="AE198" s="89"/>
      <c r="AF198" s="89"/>
      <c r="AG198" s="89"/>
      <c r="AH198" s="89"/>
      <c r="AI198" s="89"/>
      <c r="AJ198" s="89"/>
      <c r="AK198" s="89"/>
      <c r="AL198" s="89"/>
      <c r="AM198" s="89"/>
      <c r="AN198" s="89"/>
      <c r="AO198" s="89"/>
      <c r="AP198" s="89"/>
      <c r="AQ198" s="89"/>
      <c r="AR198" s="89"/>
      <c r="AS198" s="89"/>
      <c r="AT198" s="89"/>
      <c r="AU198" s="89"/>
      <c r="AV198" s="89"/>
      <c r="AW198" s="89"/>
      <c r="AX198" s="89"/>
      <c r="AY198" s="89"/>
      <c r="AZ198" s="89"/>
      <c r="BA198" s="89"/>
      <c r="BB198" s="89"/>
    </row>
    <row r="199" spans="1:54" ht="21" x14ac:dyDescent="0.35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  <c r="AE199" s="89"/>
      <c r="AF199" s="89"/>
      <c r="AG199" s="89"/>
      <c r="AH199" s="89"/>
      <c r="AI199" s="89"/>
      <c r="AJ199" s="89"/>
      <c r="AK199" s="89"/>
      <c r="AL199" s="89"/>
      <c r="AM199" s="89"/>
      <c r="AN199" s="89"/>
      <c r="AO199" s="89"/>
      <c r="AP199" s="89"/>
      <c r="AQ199" s="89"/>
      <c r="AR199" s="89"/>
      <c r="AS199" s="89"/>
      <c r="AT199" s="89"/>
      <c r="AU199" s="89"/>
      <c r="AV199" s="89"/>
      <c r="AW199" s="89"/>
      <c r="AX199" s="89"/>
      <c r="AY199" s="89"/>
      <c r="AZ199" s="89"/>
      <c r="BA199" s="89"/>
      <c r="BB199" s="89"/>
    </row>
    <row r="200" spans="1:54" ht="21" x14ac:dyDescent="0.35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  <c r="AG200" s="89"/>
      <c r="AH200" s="89"/>
      <c r="AI200" s="89"/>
      <c r="AJ200" s="89"/>
      <c r="AK200" s="89"/>
      <c r="AL200" s="89"/>
      <c r="AM200" s="89"/>
      <c r="AN200" s="89"/>
      <c r="AO200" s="89"/>
      <c r="AP200" s="89"/>
      <c r="AQ200" s="89"/>
      <c r="AR200" s="89"/>
      <c r="AS200" s="89"/>
      <c r="AT200" s="89"/>
      <c r="AU200" s="89"/>
      <c r="AV200" s="89"/>
      <c r="AW200" s="89"/>
      <c r="AX200" s="89"/>
      <c r="AY200" s="89"/>
      <c r="AZ200" s="89"/>
      <c r="BA200" s="89"/>
      <c r="BB200" s="89"/>
    </row>
    <row r="201" spans="1:54" ht="21" x14ac:dyDescent="0.35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  <c r="AD201" s="89"/>
      <c r="AE201" s="89"/>
      <c r="AF201" s="89"/>
      <c r="AG201" s="89"/>
      <c r="AH201" s="89"/>
      <c r="AI201" s="89"/>
      <c r="AJ201" s="89"/>
      <c r="AK201" s="89"/>
      <c r="AL201" s="89"/>
      <c r="AM201" s="89"/>
      <c r="AN201" s="89"/>
      <c r="AO201" s="89"/>
      <c r="AP201" s="89"/>
      <c r="AQ201" s="89"/>
      <c r="AR201" s="89"/>
      <c r="AS201" s="89"/>
      <c r="AT201" s="89"/>
      <c r="AU201" s="89"/>
      <c r="AV201" s="89"/>
      <c r="AW201" s="89"/>
      <c r="AX201" s="89"/>
      <c r="AY201" s="89"/>
      <c r="AZ201" s="89"/>
      <c r="BA201" s="89"/>
      <c r="BB201" s="89"/>
    </row>
    <row r="202" spans="1:54" ht="21" x14ac:dyDescent="0.35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  <c r="AE202" s="89"/>
      <c r="AF202" s="89"/>
      <c r="AG202" s="89"/>
      <c r="AH202" s="89"/>
      <c r="AI202" s="89"/>
      <c r="AJ202" s="89"/>
      <c r="AK202" s="89"/>
      <c r="AL202" s="89"/>
      <c r="AM202" s="89"/>
      <c r="AN202" s="89"/>
      <c r="AO202" s="89"/>
      <c r="AP202" s="89"/>
      <c r="AQ202" s="89"/>
      <c r="AR202" s="89"/>
      <c r="AS202" s="89"/>
      <c r="AT202" s="89"/>
      <c r="AU202" s="89"/>
      <c r="AV202" s="89"/>
      <c r="AW202" s="89"/>
      <c r="AX202" s="89"/>
      <c r="AY202" s="89"/>
      <c r="AZ202" s="89"/>
      <c r="BA202" s="89"/>
      <c r="BB202" s="89"/>
    </row>
    <row r="203" spans="1:54" ht="21" x14ac:dyDescent="0.35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  <c r="AD203" s="89"/>
      <c r="AE203" s="89"/>
      <c r="AF203" s="89"/>
      <c r="AG203" s="89"/>
      <c r="AH203" s="89"/>
      <c r="AI203" s="89"/>
      <c r="AJ203" s="89"/>
      <c r="AK203" s="89"/>
      <c r="AL203" s="89"/>
      <c r="AM203" s="89"/>
      <c r="AN203" s="89"/>
      <c r="AO203" s="89"/>
      <c r="AP203" s="89"/>
      <c r="AQ203" s="89"/>
      <c r="AR203" s="89"/>
      <c r="AS203" s="89"/>
      <c r="AT203" s="89"/>
      <c r="AU203" s="89"/>
      <c r="AV203" s="89"/>
      <c r="AW203" s="89"/>
      <c r="AX203" s="89"/>
      <c r="AY203" s="89"/>
      <c r="AZ203" s="89"/>
      <c r="BA203" s="89"/>
      <c r="BB203" s="89"/>
    </row>
    <row r="204" spans="1:54" ht="21" x14ac:dyDescent="0.35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  <c r="AD204" s="89"/>
      <c r="AE204" s="89"/>
      <c r="AF204" s="89"/>
      <c r="AG204" s="89"/>
      <c r="AH204" s="89"/>
      <c r="AI204" s="89"/>
      <c r="AJ204" s="89"/>
      <c r="AK204" s="89"/>
      <c r="AL204" s="89"/>
      <c r="AM204" s="89"/>
      <c r="AN204" s="89"/>
      <c r="AO204" s="89"/>
      <c r="AP204" s="89"/>
      <c r="AQ204" s="89"/>
      <c r="AR204" s="89"/>
      <c r="AS204" s="89"/>
      <c r="AT204" s="89"/>
      <c r="AU204" s="89"/>
      <c r="AV204" s="89"/>
      <c r="AW204" s="89"/>
      <c r="AX204" s="89"/>
      <c r="AY204" s="89"/>
      <c r="AZ204" s="89"/>
      <c r="BA204" s="89"/>
      <c r="BB204" s="89"/>
    </row>
    <row r="205" spans="1:54" ht="21" x14ac:dyDescent="0.35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89"/>
      <c r="AN205" s="89"/>
      <c r="AO205" s="89"/>
      <c r="AP205" s="89"/>
      <c r="AQ205" s="89"/>
      <c r="AR205" s="89"/>
      <c r="AS205" s="89"/>
      <c r="AT205" s="89"/>
      <c r="AU205" s="89"/>
      <c r="AV205" s="89"/>
      <c r="AW205" s="89"/>
      <c r="AX205" s="89"/>
      <c r="AY205" s="89"/>
      <c r="AZ205" s="89"/>
      <c r="BA205" s="89"/>
      <c r="BB205" s="89"/>
    </row>
    <row r="206" spans="1:54" ht="21" x14ac:dyDescent="0.35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  <c r="AE206" s="89"/>
      <c r="AF206" s="89"/>
      <c r="AG206" s="89"/>
      <c r="AH206" s="89"/>
      <c r="AI206" s="89"/>
      <c r="AJ206" s="89"/>
      <c r="AK206" s="89"/>
      <c r="AL206" s="89"/>
      <c r="AM206" s="89"/>
      <c r="AN206" s="89"/>
      <c r="AO206" s="89"/>
      <c r="AP206" s="89"/>
      <c r="AQ206" s="89"/>
      <c r="AR206" s="89"/>
      <c r="AS206" s="89"/>
      <c r="AT206" s="89"/>
      <c r="AU206" s="89"/>
      <c r="AV206" s="89"/>
      <c r="AW206" s="89"/>
      <c r="AX206" s="89"/>
      <c r="AY206" s="89"/>
      <c r="AZ206" s="89"/>
      <c r="BA206" s="89"/>
      <c r="BB206" s="89"/>
    </row>
    <row r="207" spans="1:54" ht="21" x14ac:dyDescent="0.35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  <c r="AE207" s="89"/>
      <c r="AF207" s="89"/>
      <c r="AG207" s="89"/>
      <c r="AH207" s="89"/>
      <c r="AI207" s="89"/>
      <c r="AJ207" s="89"/>
      <c r="AK207" s="89"/>
      <c r="AL207" s="89"/>
      <c r="AM207" s="89"/>
      <c r="AN207" s="89"/>
      <c r="AO207" s="89"/>
      <c r="AP207" s="89"/>
      <c r="AQ207" s="89"/>
      <c r="AR207" s="89"/>
      <c r="AS207" s="89"/>
      <c r="AT207" s="89"/>
      <c r="AU207" s="89"/>
      <c r="AV207" s="89"/>
      <c r="AW207" s="89"/>
      <c r="AX207" s="89"/>
      <c r="AY207" s="89"/>
      <c r="AZ207" s="89"/>
      <c r="BA207" s="89"/>
      <c r="BB207" s="89"/>
    </row>
    <row r="208" spans="1:54" ht="21" x14ac:dyDescent="0.35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  <c r="AD208" s="89"/>
      <c r="AE208" s="89"/>
      <c r="AF208" s="89"/>
      <c r="AG208" s="89"/>
      <c r="AH208" s="89"/>
      <c r="AI208" s="89"/>
      <c r="AJ208" s="89"/>
      <c r="AK208" s="89"/>
      <c r="AL208" s="89"/>
      <c r="AM208" s="89"/>
      <c r="AN208" s="89"/>
      <c r="AO208" s="89"/>
      <c r="AP208" s="89"/>
      <c r="AQ208" s="89"/>
      <c r="AR208" s="89"/>
      <c r="AS208" s="89"/>
      <c r="AT208" s="89"/>
      <c r="AU208" s="89"/>
      <c r="AV208" s="89"/>
      <c r="AW208" s="89"/>
      <c r="AX208" s="89"/>
      <c r="AY208" s="89"/>
      <c r="AZ208" s="89"/>
      <c r="BA208" s="89"/>
      <c r="BB208" s="89"/>
    </row>
    <row r="209" spans="1:54" ht="21" x14ac:dyDescent="0.35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89"/>
      <c r="AN209" s="89"/>
      <c r="AO209" s="89"/>
      <c r="AP209" s="89"/>
      <c r="AQ209" s="89"/>
      <c r="AR209" s="89"/>
      <c r="AS209" s="89"/>
      <c r="AT209" s="89"/>
      <c r="AU209" s="89"/>
      <c r="AV209" s="89"/>
      <c r="AW209" s="89"/>
      <c r="AX209" s="89"/>
      <c r="AY209" s="89"/>
      <c r="AZ209" s="89"/>
      <c r="BA209" s="89"/>
      <c r="BB209" s="89"/>
    </row>
    <row r="210" spans="1:54" ht="21" x14ac:dyDescent="0.35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  <c r="AD210" s="89"/>
      <c r="AE210" s="89"/>
      <c r="AF210" s="89"/>
      <c r="AG210" s="89"/>
      <c r="AH210" s="89"/>
      <c r="AI210" s="89"/>
      <c r="AJ210" s="89"/>
      <c r="AK210" s="89"/>
      <c r="AL210" s="89"/>
      <c r="AM210" s="89"/>
      <c r="AN210" s="89"/>
      <c r="AO210" s="89"/>
      <c r="AP210" s="89"/>
      <c r="AQ210" s="89"/>
      <c r="AR210" s="89"/>
      <c r="AS210" s="89"/>
      <c r="AT210" s="89"/>
      <c r="AU210" s="89"/>
      <c r="AV210" s="89"/>
      <c r="AW210" s="89"/>
      <c r="AX210" s="89"/>
      <c r="AY210" s="89"/>
      <c r="AZ210" s="89"/>
      <c r="BA210" s="89"/>
      <c r="BB210" s="89"/>
    </row>
    <row r="211" spans="1:54" ht="21" x14ac:dyDescent="0.35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  <c r="AD211" s="89"/>
      <c r="AE211" s="89"/>
      <c r="AF211" s="89"/>
      <c r="AG211" s="89"/>
      <c r="AH211" s="89"/>
      <c r="AI211" s="89"/>
      <c r="AJ211" s="89"/>
      <c r="AK211" s="89"/>
      <c r="AL211" s="89"/>
      <c r="AM211" s="89"/>
      <c r="AN211" s="89"/>
      <c r="AO211" s="89"/>
      <c r="AP211" s="89"/>
      <c r="AQ211" s="89"/>
      <c r="AR211" s="89"/>
      <c r="AS211" s="89"/>
      <c r="AT211" s="89"/>
      <c r="AU211" s="89"/>
      <c r="AV211" s="89"/>
      <c r="AW211" s="89"/>
      <c r="AX211" s="89"/>
      <c r="AY211" s="89"/>
      <c r="AZ211" s="89"/>
      <c r="BA211" s="89"/>
      <c r="BB211" s="89"/>
    </row>
    <row r="212" spans="1:54" ht="21" x14ac:dyDescent="0.35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  <c r="AD212" s="89"/>
      <c r="AE212" s="89"/>
      <c r="AF212" s="89"/>
      <c r="AG212" s="89"/>
      <c r="AH212" s="89"/>
      <c r="AI212" s="89"/>
      <c r="AJ212" s="89"/>
      <c r="AK212" s="89"/>
      <c r="AL212" s="89"/>
      <c r="AM212" s="89"/>
      <c r="AN212" s="89"/>
      <c r="AO212" s="89"/>
      <c r="AP212" s="89"/>
      <c r="AQ212" s="89"/>
      <c r="AR212" s="89"/>
      <c r="AS212" s="89"/>
      <c r="AT212" s="89"/>
      <c r="AU212" s="89"/>
      <c r="AV212" s="89"/>
      <c r="AW212" s="89"/>
      <c r="AX212" s="89"/>
      <c r="AY212" s="89"/>
      <c r="AZ212" s="89"/>
      <c r="BA212" s="89"/>
      <c r="BB212" s="89"/>
    </row>
    <row r="213" spans="1:54" ht="21" x14ac:dyDescent="0.35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  <c r="AD213" s="89"/>
      <c r="AE213" s="89"/>
      <c r="AF213" s="89"/>
      <c r="AG213" s="89"/>
      <c r="AH213" s="89"/>
      <c r="AI213" s="89"/>
      <c r="AJ213" s="89"/>
      <c r="AK213" s="89"/>
      <c r="AL213" s="89"/>
      <c r="AM213" s="89"/>
      <c r="AN213" s="89"/>
      <c r="AO213" s="89"/>
      <c r="AP213" s="89"/>
      <c r="AQ213" s="89"/>
      <c r="AR213" s="89"/>
      <c r="AS213" s="89"/>
      <c r="AT213" s="89"/>
      <c r="AU213" s="89"/>
      <c r="AV213" s="89"/>
      <c r="AW213" s="89"/>
      <c r="AX213" s="89"/>
      <c r="AY213" s="89"/>
      <c r="AZ213" s="89"/>
      <c r="BA213" s="89"/>
      <c r="BB213" s="89"/>
    </row>
    <row r="214" spans="1:54" ht="21" x14ac:dyDescent="0.35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  <c r="AD214" s="89"/>
      <c r="AE214" s="89"/>
      <c r="AF214" s="89"/>
      <c r="AG214" s="89"/>
      <c r="AH214" s="89"/>
      <c r="AI214" s="89"/>
      <c r="AJ214" s="89"/>
      <c r="AK214" s="89"/>
      <c r="AL214" s="89"/>
      <c r="AM214" s="89"/>
      <c r="AN214" s="89"/>
      <c r="AO214" s="89"/>
      <c r="AP214" s="89"/>
      <c r="AQ214" s="89"/>
      <c r="AR214" s="89"/>
      <c r="AS214" s="89"/>
      <c r="AT214" s="89"/>
      <c r="AU214" s="89"/>
      <c r="AV214" s="89"/>
      <c r="AW214" s="89"/>
      <c r="AX214" s="89"/>
      <c r="AY214" s="89"/>
      <c r="AZ214" s="89"/>
      <c r="BA214" s="89"/>
      <c r="BB214" s="89"/>
    </row>
    <row r="215" spans="1:54" ht="21" x14ac:dyDescent="0.35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  <c r="AD215" s="89"/>
      <c r="AE215" s="89"/>
      <c r="AF215" s="89"/>
      <c r="AG215" s="89"/>
      <c r="AH215" s="89"/>
      <c r="AI215" s="89"/>
      <c r="AJ215" s="89"/>
      <c r="AK215" s="89"/>
      <c r="AL215" s="89"/>
      <c r="AM215" s="89"/>
      <c r="AN215" s="89"/>
      <c r="AO215" s="89"/>
      <c r="AP215" s="89"/>
      <c r="AQ215" s="89"/>
      <c r="AR215" s="89"/>
      <c r="AS215" s="89"/>
      <c r="AT215" s="89"/>
      <c r="AU215" s="89"/>
      <c r="AV215" s="89"/>
      <c r="AW215" s="89"/>
      <c r="AX215" s="89"/>
      <c r="AY215" s="89"/>
      <c r="AZ215" s="89"/>
      <c r="BA215" s="89"/>
      <c r="BB215" s="89"/>
    </row>
    <row r="216" spans="1:54" ht="21" x14ac:dyDescent="0.35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  <c r="AD216" s="89"/>
      <c r="AE216" s="89"/>
      <c r="AF216" s="89"/>
      <c r="AG216" s="89"/>
      <c r="AH216" s="89"/>
      <c r="AI216" s="89"/>
      <c r="AJ216" s="89"/>
      <c r="AK216" s="89"/>
      <c r="AL216" s="89"/>
      <c r="AM216" s="89"/>
      <c r="AN216" s="89"/>
      <c r="AO216" s="89"/>
      <c r="AP216" s="89"/>
      <c r="AQ216" s="89"/>
      <c r="AR216" s="89"/>
      <c r="AS216" s="89"/>
      <c r="AT216" s="89"/>
      <c r="AU216" s="89"/>
      <c r="AV216" s="89"/>
      <c r="AW216" s="89"/>
      <c r="AX216" s="89"/>
      <c r="AY216" s="89"/>
      <c r="AZ216" s="89"/>
      <c r="BA216" s="89"/>
      <c r="BB216" s="89"/>
    </row>
    <row r="217" spans="1:54" ht="21" x14ac:dyDescent="0.35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  <c r="AC217" s="89"/>
      <c r="AD217" s="89"/>
      <c r="AE217" s="89"/>
      <c r="AF217" s="89"/>
      <c r="AG217" s="89"/>
      <c r="AH217" s="89"/>
      <c r="AI217" s="89"/>
      <c r="AJ217" s="89"/>
      <c r="AK217" s="89"/>
      <c r="AL217" s="89"/>
      <c r="AM217" s="89"/>
      <c r="AN217" s="89"/>
      <c r="AO217" s="89"/>
      <c r="AP217" s="89"/>
      <c r="AQ217" s="89"/>
      <c r="AR217" s="89"/>
      <c r="AS217" s="89"/>
      <c r="AT217" s="89"/>
      <c r="AU217" s="89"/>
      <c r="AV217" s="89"/>
      <c r="AW217" s="89"/>
      <c r="AX217" s="89"/>
      <c r="AY217" s="89"/>
      <c r="AZ217" s="89"/>
      <c r="BA217" s="89"/>
      <c r="BB217" s="89"/>
    </row>
    <row r="218" spans="1:54" ht="21" x14ac:dyDescent="0.35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  <c r="AC218" s="89"/>
      <c r="AD218" s="89"/>
      <c r="AE218" s="89"/>
      <c r="AF218" s="89"/>
      <c r="AG218" s="89"/>
      <c r="AH218" s="89"/>
      <c r="AI218" s="89"/>
      <c r="AJ218" s="89"/>
      <c r="AK218" s="89"/>
      <c r="AL218" s="89"/>
      <c r="AM218" s="89"/>
      <c r="AN218" s="89"/>
      <c r="AO218" s="89"/>
      <c r="AP218" s="89"/>
      <c r="AQ218" s="89"/>
      <c r="AR218" s="89"/>
      <c r="AS218" s="89"/>
      <c r="AT218" s="89"/>
      <c r="AU218" s="89"/>
      <c r="AV218" s="89"/>
      <c r="AW218" s="89"/>
      <c r="AX218" s="89"/>
      <c r="AY218" s="89"/>
      <c r="AZ218" s="89"/>
      <c r="BA218" s="89"/>
      <c r="BB218" s="89"/>
    </row>
    <row r="219" spans="1:54" ht="21" x14ac:dyDescent="0.35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  <c r="AC219" s="89"/>
      <c r="AD219" s="89"/>
      <c r="AE219" s="89"/>
      <c r="AF219" s="89"/>
      <c r="AG219" s="89"/>
      <c r="AH219" s="89"/>
      <c r="AI219" s="89"/>
      <c r="AJ219" s="89"/>
      <c r="AK219" s="89"/>
      <c r="AL219" s="89"/>
      <c r="AM219" s="89"/>
      <c r="AN219" s="89"/>
      <c r="AO219" s="89"/>
      <c r="AP219" s="89"/>
      <c r="AQ219" s="89"/>
      <c r="AR219" s="89"/>
      <c r="AS219" s="89"/>
      <c r="AT219" s="89"/>
      <c r="AU219" s="89"/>
      <c r="AV219" s="89"/>
      <c r="AW219" s="89"/>
      <c r="AX219" s="89"/>
      <c r="AY219" s="89"/>
      <c r="AZ219" s="89"/>
      <c r="BA219" s="89"/>
      <c r="BB219" s="89"/>
    </row>
    <row r="220" spans="1:54" ht="21" x14ac:dyDescent="0.35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  <c r="AD220" s="89"/>
      <c r="AE220" s="89"/>
      <c r="AF220" s="89"/>
      <c r="AG220" s="89"/>
      <c r="AH220" s="89"/>
      <c r="AI220" s="89"/>
      <c r="AJ220" s="89"/>
      <c r="AK220" s="89"/>
      <c r="AL220" s="89"/>
      <c r="AM220" s="89"/>
      <c r="AN220" s="89"/>
      <c r="AO220" s="89"/>
      <c r="AP220" s="89"/>
      <c r="AQ220" s="89"/>
      <c r="AR220" s="89"/>
      <c r="AS220" s="89"/>
      <c r="AT220" s="89"/>
      <c r="AU220" s="89"/>
      <c r="AV220" s="89"/>
      <c r="AW220" s="89"/>
      <c r="AX220" s="89"/>
      <c r="AY220" s="89"/>
      <c r="AZ220" s="89"/>
      <c r="BA220" s="89"/>
      <c r="BB220" s="89"/>
    </row>
    <row r="221" spans="1:54" ht="21" x14ac:dyDescent="0.35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  <c r="AC221" s="89"/>
      <c r="AD221" s="89"/>
      <c r="AE221" s="89"/>
      <c r="AF221" s="89"/>
      <c r="AG221" s="89"/>
      <c r="AH221" s="89"/>
      <c r="AI221" s="89"/>
      <c r="AJ221" s="89"/>
      <c r="AK221" s="89"/>
      <c r="AL221" s="89"/>
      <c r="AM221" s="89"/>
      <c r="AN221" s="89"/>
      <c r="AO221" s="89"/>
      <c r="AP221" s="89"/>
      <c r="AQ221" s="89"/>
      <c r="AR221" s="89"/>
      <c r="AS221" s="89"/>
      <c r="AT221" s="89"/>
      <c r="AU221" s="89"/>
      <c r="AV221" s="89"/>
      <c r="AW221" s="89"/>
      <c r="AX221" s="89"/>
      <c r="AY221" s="89"/>
      <c r="AZ221" s="89"/>
      <c r="BA221" s="89"/>
      <c r="BB221" s="89"/>
    </row>
    <row r="222" spans="1:54" ht="21" x14ac:dyDescent="0.35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  <c r="AC222" s="89"/>
      <c r="AD222" s="89"/>
      <c r="AE222" s="89"/>
      <c r="AF222" s="89"/>
      <c r="AG222" s="89"/>
      <c r="AH222" s="89"/>
      <c r="AI222" s="89"/>
      <c r="AJ222" s="89"/>
      <c r="AK222" s="89"/>
      <c r="AL222" s="89"/>
      <c r="AM222" s="89"/>
      <c r="AN222" s="89"/>
      <c r="AO222" s="89"/>
      <c r="AP222" s="89"/>
      <c r="AQ222" s="89"/>
      <c r="AR222" s="89"/>
      <c r="AS222" s="89"/>
      <c r="AT222" s="89"/>
      <c r="AU222" s="89"/>
      <c r="AV222" s="89"/>
      <c r="AW222" s="89"/>
      <c r="AX222" s="89"/>
      <c r="AY222" s="89"/>
      <c r="AZ222" s="89"/>
      <c r="BA222" s="89"/>
      <c r="BB222" s="89"/>
    </row>
    <row r="223" spans="1:54" ht="21" x14ac:dyDescent="0.35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  <c r="AC223" s="89"/>
      <c r="AD223" s="89"/>
      <c r="AE223" s="89"/>
      <c r="AF223" s="89"/>
      <c r="AG223" s="89"/>
      <c r="AH223" s="89"/>
      <c r="AI223" s="89"/>
      <c r="AJ223" s="89"/>
      <c r="AK223" s="89"/>
      <c r="AL223" s="89"/>
      <c r="AM223" s="89"/>
      <c r="AN223" s="89"/>
      <c r="AO223" s="89"/>
      <c r="AP223" s="89"/>
      <c r="AQ223" s="89"/>
      <c r="AR223" s="89"/>
      <c r="AS223" s="89"/>
      <c r="AT223" s="89"/>
      <c r="AU223" s="89"/>
      <c r="AV223" s="89"/>
      <c r="AW223" s="89"/>
      <c r="AX223" s="89"/>
      <c r="AY223" s="89"/>
      <c r="AZ223" s="89"/>
      <c r="BA223" s="89"/>
      <c r="BB223" s="89"/>
    </row>
    <row r="224" spans="1:54" ht="21" x14ac:dyDescent="0.35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  <c r="AD224" s="89"/>
      <c r="AE224" s="89"/>
      <c r="AF224" s="89"/>
      <c r="AG224" s="89"/>
      <c r="AH224" s="89"/>
      <c r="AI224" s="89"/>
      <c r="AJ224" s="89"/>
      <c r="AK224" s="89"/>
      <c r="AL224" s="89"/>
      <c r="AM224" s="89"/>
      <c r="AN224" s="89"/>
      <c r="AO224" s="89"/>
      <c r="AP224" s="89"/>
      <c r="AQ224" s="89"/>
      <c r="AR224" s="89"/>
      <c r="AS224" s="89"/>
      <c r="AT224" s="89"/>
      <c r="AU224" s="89"/>
      <c r="AV224" s="89"/>
      <c r="AW224" s="89"/>
      <c r="AX224" s="89"/>
      <c r="AY224" s="89"/>
      <c r="AZ224" s="89"/>
      <c r="BA224" s="89"/>
      <c r="BB224" s="89"/>
    </row>
    <row r="225" spans="1:54" ht="21" x14ac:dyDescent="0.35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  <c r="AD225" s="89"/>
      <c r="AE225" s="89"/>
      <c r="AF225" s="89"/>
      <c r="AG225" s="89"/>
      <c r="AH225" s="89"/>
      <c r="AI225" s="89"/>
      <c r="AJ225" s="89"/>
      <c r="AK225" s="89"/>
      <c r="AL225" s="89"/>
      <c r="AM225" s="89"/>
      <c r="AN225" s="89"/>
      <c r="AO225" s="89"/>
      <c r="AP225" s="89"/>
      <c r="AQ225" s="89"/>
      <c r="AR225" s="89"/>
      <c r="AS225" s="89"/>
      <c r="AT225" s="89"/>
      <c r="AU225" s="89"/>
      <c r="AV225" s="89"/>
      <c r="AW225" s="89"/>
      <c r="AX225" s="89"/>
      <c r="AY225" s="89"/>
      <c r="AZ225" s="89"/>
      <c r="BA225" s="89"/>
      <c r="BB225" s="89"/>
    </row>
    <row r="226" spans="1:54" ht="21" x14ac:dyDescent="0.35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  <c r="AD226" s="89"/>
      <c r="AE226" s="89"/>
      <c r="AF226" s="89"/>
      <c r="AG226" s="89"/>
      <c r="AH226" s="89"/>
      <c r="AI226" s="89"/>
      <c r="AJ226" s="89"/>
      <c r="AK226" s="89"/>
      <c r="AL226" s="89"/>
      <c r="AM226" s="89"/>
      <c r="AN226" s="89"/>
      <c r="AO226" s="89"/>
      <c r="AP226" s="89"/>
      <c r="AQ226" s="89"/>
      <c r="AR226" s="89"/>
      <c r="AS226" s="89"/>
      <c r="AT226" s="89"/>
      <c r="AU226" s="89"/>
      <c r="AV226" s="89"/>
      <c r="AW226" s="89"/>
      <c r="AX226" s="89"/>
      <c r="AY226" s="89"/>
      <c r="AZ226" s="89"/>
      <c r="BA226" s="89"/>
      <c r="BB226" s="89"/>
    </row>
    <row r="227" spans="1:54" ht="21" x14ac:dyDescent="0.35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  <c r="AC227" s="89"/>
      <c r="AD227" s="89"/>
      <c r="AE227" s="89"/>
      <c r="AF227" s="89"/>
      <c r="AG227" s="89"/>
      <c r="AH227" s="89"/>
      <c r="AI227" s="89"/>
      <c r="AJ227" s="89"/>
      <c r="AK227" s="89"/>
      <c r="AL227" s="89"/>
      <c r="AM227" s="89"/>
      <c r="AN227" s="89"/>
      <c r="AO227" s="89"/>
      <c r="AP227" s="89"/>
      <c r="AQ227" s="89"/>
      <c r="AR227" s="89"/>
      <c r="AS227" s="89"/>
      <c r="AT227" s="89"/>
      <c r="AU227" s="89"/>
      <c r="AV227" s="89"/>
      <c r="AW227" s="89"/>
      <c r="AX227" s="89"/>
      <c r="AY227" s="89"/>
      <c r="AZ227" s="89"/>
      <c r="BA227" s="89"/>
      <c r="BB227" s="89"/>
    </row>
    <row r="228" spans="1:54" ht="21" x14ac:dyDescent="0.35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  <c r="AD228" s="89"/>
      <c r="AE228" s="89"/>
      <c r="AF228" s="89"/>
      <c r="AG228" s="89"/>
      <c r="AH228" s="89"/>
      <c r="AI228" s="89"/>
      <c r="AJ228" s="89"/>
      <c r="AK228" s="89"/>
      <c r="AL228" s="89"/>
      <c r="AM228" s="89"/>
      <c r="AN228" s="89"/>
      <c r="AO228" s="89"/>
      <c r="AP228" s="89"/>
      <c r="AQ228" s="89"/>
      <c r="AR228" s="89"/>
      <c r="AS228" s="89"/>
      <c r="AT228" s="89"/>
      <c r="AU228" s="89"/>
      <c r="AV228" s="89"/>
      <c r="AW228" s="89"/>
      <c r="AX228" s="89"/>
      <c r="AY228" s="89"/>
      <c r="AZ228" s="89"/>
      <c r="BA228" s="89"/>
      <c r="BB228" s="89"/>
    </row>
    <row r="229" spans="1:54" ht="21" x14ac:dyDescent="0.35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  <c r="AC229" s="89"/>
      <c r="AD229" s="89"/>
      <c r="AE229" s="89"/>
      <c r="AF229" s="89"/>
      <c r="AG229" s="89"/>
      <c r="AH229" s="89"/>
      <c r="AI229" s="89"/>
      <c r="AJ229" s="89"/>
      <c r="AK229" s="89"/>
      <c r="AL229" s="89"/>
      <c r="AM229" s="89"/>
      <c r="AN229" s="89"/>
      <c r="AO229" s="89"/>
      <c r="AP229" s="89"/>
      <c r="AQ229" s="89"/>
      <c r="AR229" s="89"/>
      <c r="AS229" s="89"/>
      <c r="AT229" s="89"/>
      <c r="AU229" s="89"/>
      <c r="AV229" s="89"/>
      <c r="AW229" s="89"/>
      <c r="AX229" s="89"/>
      <c r="AY229" s="89"/>
      <c r="AZ229" s="89"/>
      <c r="BA229" s="89"/>
      <c r="BB229" s="89"/>
    </row>
    <row r="230" spans="1:54" ht="21" x14ac:dyDescent="0.35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  <c r="AC230" s="89"/>
      <c r="AD230" s="89"/>
      <c r="AE230" s="89"/>
      <c r="AF230" s="89"/>
      <c r="AG230" s="89"/>
      <c r="AH230" s="89"/>
      <c r="AI230" s="89"/>
      <c r="AJ230" s="89"/>
      <c r="AK230" s="89"/>
      <c r="AL230" s="89"/>
      <c r="AM230" s="89"/>
      <c r="AN230" s="89"/>
      <c r="AO230" s="89"/>
      <c r="AP230" s="89"/>
      <c r="AQ230" s="89"/>
      <c r="AR230" s="89"/>
      <c r="AS230" s="89"/>
      <c r="AT230" s="89"/>
      <c r="AU230" s="89"/>
      <c r="AV230" s="89"/>
      <c r="AW230" s="89"/>
      <c r="AX230" s="89"/>
      <c r="AY230" s="89"/>
      <c r="AZ230" s="89"/>
      <c r="BA230" s="89"/>
      <c r="BB230" s="89"/>
    </row>
    <row r="231" spans="1:54" ht="21" x14ac:dyDescent="0.35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  <c r="AC231" s="89"/>
      <c r="AD231" s="89"/>
      <c r="AE231" s="89"/>
      <c r="AF231" s="89"/>
      <c r="AG231" s="89"/>
      <c r="AH231" s="89"/>
      <c r="AI231" s="89"/>
      <c r="AJ231" s="89"/>
      <c r="AK231" s="89"/>
      <c r="AL231" s="89"/>
      <c r="AM231" s="89"/>
      <c r="AN231" s="89"/>
      <c r="AO231" s="89"/>
      <c r="AP231" s="89"/>
      <c r="AQ231" s="89"/>
      <c r="AR231" s="89"/>
      <c r="AS231" s="89"/>
      <c r="AT231" s="89"/>
      <c r="AU231" s="89"/>
      <c r="AV231" s="89"/>
      <c r="AW231" s="89"/>
      <c r="AX231" s="89"/>
      <c r="AY231" s="89"/>
      <c r="AZ231" s="89"/>
      <c r="BA231" s="89"/>
      <c r="BB231" s="89"/>
    </row>
    <row r="232" spans="1:54" ht="21" x14ac:dyDescent="0.35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9"/>
      <c r="AJ232" s="89"/>
      <c r="AK232" s="89"/>
      <c r="AL232" s="89"/>
      <c r="AM232" s="89"/>
      <c r="AN232" s="89"/>
      <c r="AO232" s="89"/>
      <c r="AP232" s="89"/>
      <c r="AQ232" s="89"/>
      <c r="AR232" s="89"/>
      <c r="AS232" s="89"/>
      <c r="AT232" s="89"/>
      <c r="AU232" s="89"/>
      <c r="AV232" s="89"/>
      <c r="AW232" s="89"/>
      <c r="AX232" s="89"/>
      <c r="AY232" s="89"/>
      <c r="AZ232" s="89"/>
      <c r="BA232" s="89"/>
      <c r="BB232" s="89"/>
    </row>
    <row r="233" spans="1:54" ht="21" x14ac:dyDescent="0.35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  <c r="AC233" s="89"/>
      <c r="AD233" s="89"/>
      <c r="AE233" s="89"/>
      <c r="AF233" s="89"/>
      <c r="AG233" s="89"/>
      <c r="AH233" s="89"/>
      <c r="AI233" s="89"/>
      <c r="AJ233" s="89"/>
      <c r="AK233" s="89"/>
      <c r="AL233" s="89"/>
      <c r="AM233" s="89"/>
      <c r="AN233" s="89"/>
      <c r="AO233" s="89"/>
      <c r="AP233" s="89"/>
      <c r="AQ233" s="89"/>
      <c r="AR233" s="89"/>
      <c r="AS233" s="89"/>
      <c r="AT233" s="89"/>
      <c r="AU233" s="89"/>
      <c r="AV233" s="89"/>
      <c r="AW233" s="89"/>
      <c r="AX233" s="89"/>
      <c r="AY233" s="89"/>
      <c r="AZ233" s="89"/>
      <c r="BA233" s="89"/>
      <c r="BB233" s="89"/>
    </row>
    <row r="234" spans="1:54" ht="21" x14ac:dyDescent="0.35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  <c r="AD234" s="89"/>
      <c r="AE234" s="89"/>
      <c r="AF234" s="89"/>
      <c r="AG234" s="89"/>
      <c r="AH234" s="89"/>
      <c r="AI234" s="89"/>
      <c r="AJ234" s="89"/>
      <c r="AK234" s="89"/>
      <c r="AL234" s="89"/>
      <c r="AM234" s="89"/>
      <c r="AN234" s="89"/>
      <c r="AO234" s="89"/>
      <c r="AP234" s="89"/>
      <c r="AQ234" s="89"/>
      <c r="AR234" s="89"/>
      <c r="AS234" s="89"/>
      <c r="AT234" s="89"/>
      <c r="AU234" s="89"/>
      <c r="AV234" s="89"/>
      <c r="AW234" s="89"/>
      <c r="AX234" s="89"/>
      <c r="AY234" s="89"/>
      <c r="AZ234" s="89"/>
      <c r="BA234" s="89"/>
      <c r="BB234" s="89"/>
    </row>
    <row r="235" spans="1:54" ht="21" x14ac:dyDescent="0.35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  <c r="AD235" s="89"/>
      <c r="AE235" s="89"/>
      <c r="AF235" s="89"/>
      <c r="AG235" s="89"/>
      <c r="AH235" s="89"/>
      <c r="AI235" s="89"/>
      <c r="AJ235" s="89"/>
      <c r="AK235" s="89"/>
      <c r="AL235" s="89"/>
      <c r="AM235" s="89"/>
      <c r="AN235" s="89"/>
      <c r="AO235" s="89"/>
      <c r="AP235" s="89"/>
      <c r="AQ235" s="89"/>
      <c r="AR235" s="89"/>
      <c r="AS235" s="89"/>
      <c r="AT235" s="89"/>
      <c r="AU235" s="89"/>
      <c r="AV235" s="89"/>
      <c r="AW235" s="89"/>
      <c r="AX235" s="89"/>
      <c r="AY235" s="89"/>
      <c r="AZ235" s="89"/>
      <c r="BA235" s="89"/>
      <c r="BB235" s="89"/>
    </row>
    <row r="236" spans="1:54" ht="21" x14ac:dyDescent="0.35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  <c r="AD236" s="89"/>
      <c r="AE236" s="89"/>
      <c r="AF236" s="89"/>
      <c r="AG236" s="89"/>
      <c r="AH236" s="89"/>
      <c r="AI236" s="89"/>
      <c r="AJ236" s="89"/>
      <c r="AK236" s="89"/>
      <c r="AL236" s="89"/>
      <c r="AM236" s="89"/>
      <c r="AN236" s="89"/>
      <c r="AO236" s="89"/>
      <c r="AP236" s="89"/>
      <c r="AQ236" s="89"/>
      <c r="AR236" s="89"/>
      <c r="AS236" s="89"/>
      <c r="AT236" s="89"/>
      <c r="AU236" s="89"/>
      <c r="AV236" s="89"/>
      <c r="AW236" s="89"/>
      <c r="AX236" s="89"/>
      <c r="AY236" s="89"/>
      <c r="AZ236" s="89"/>
      <c r="BA236" s="89"/>
      <c r="BB236" s="89"/>
    </row>
    <row r="237" spans="1:54" ht="21" x14ac:dyDescent="0.35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  <c r="AC237" s="89"/>
      <c r="AD237" s="89"/>
      <c r="AE237" s="89"/>
      <c r="AF237" s="89"/>
      <c r="AG237" s="89"/>
      <c r="AH237" s="89"/>
      <c r="AI237" s="89"/>
      <c r="AJ237" s="89"/>
      <c r="AK237" s="89"/>
      <c r="AL237" s="89"/>
      <c r="AM237" s="89"/>
      <c r="AN237" s="89"/>
      <c r="AO237" s="89"/>
      <c r="AP237" s="89"/>
      <c r="AQ237" s="89"/>
      <c r="AR237" s="89"/>
      <c r="AS237" s="89"/>
      <c r="AT237" s="89"/>
      <c r="AU237" s="89"/>
      <c r="AV237" s="89"/>
      <c r="AW237" s="89"/>
      <c r="AX237" s="89"/>
      <c r="AY237" s="89"/>
      <c r="AZ237" s="89"/>
      <c r="BA237" s="89"/>
      <c r="BB237" s="89"/>
    </row>
    <row r="238" spans="1:54" ht="21" x14ac:dyDescent="0.35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  <c r="AD238" s="89"/>
      <c r="AE238" s="89"/>
      <c r="AF238" s="89"/>
      <c r="AG238" s="89"/>
      <c r="AH238" s="89"/>
      <c r="AI238" s="89"/>
      <c r="AJ238" s="89"/>
      <c r="AK238" s="89"/>
      <c r="AL238" s="89"/>
      <c r="AM238" s="89"/>
      <c r="AN238" s="89"/>
      <c r="AO238" s="89"/>
      <c r="AP238" s="89"/>
      <c r="AQ238" s="89"/>
      <c r="AR238" s="89"/>
      <c r="AS238" s="89"/>
      <c r="AT238" s="89"/>
      <c r="AU238" s="89"/>
      <c r="AV238" s="89"/>
      <c r="AW238" s="89"/>
      <c r="AX238" s="89"/>
      <c r="AY238" s="89"/>
      <c r="AZ238" s="89"/>
      <c r="BA238" s="89"/>
      <c r="BB238" s="89"/>
    </row>
    <row r="239" spans="1:54" ht="21" x14ac:dyDescent="0.35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  <c r="AD239" s="89"/>
      <c r="AE239" s="89"/>
      <c r="AF239" s="89"/>
      <c r="AG239" s="89"/>
      <c r="AH239" s="89"/>
      <c r="AI239" s="89"/>
      <c r="AJ239" s="89"/>
      <c r="AK239" s="89"/>
      <c r="AL239" s="89"/>
      <c r="AM239" s="89"/>
      <c r="AN239" s="89"/>
      <c r="AO239" s="89"/>
      <c r="AP239" s="89"/>
      <c r="AQ239" s="89"/>
      <c r="AR239" s="89"/>
      <c r="AS239" s="89"/>
      <c r="AT239" s="89"/>
      <c r="AU239" s="89"/>
      <c r="AV239" s="89"/>
      <c r="AW239" s="89"/>
      <c r="AX239" s="89"/>
      <c r="AY239" s="89"/>
      <c r="AZ239" s="89"/>
      <c r="BA239" s="89"/>
      <c r="BB239" s="89"/>
    </row>
    <row r="240" spans="1:54" ht="21" x14ac:dyDescent="0.35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89"/>
      <c r="AL240" s="89"/>
      <c r="AM240" s="89"/>
      <c r="AN240" s="89"/>
      <c r="AO240" s="89"/>
      <c r="AP240" s="89"/>
      <c r="AQ240" s="89"/>
      <c r="AR240" s="89"/>
      <c r="AS240" s="89"/>
      <c r="AT240" s="89"/>
      <c r="AU240" s="89"/>
      <c r="AV240" s="89"/>
      <c r="AW240" s="89"/>
      <c r="AX240" s="89"/>
      <c r="AY240" s="89"/>
      <c r="AZ240" s="89"/>
      <c r="BA240" s="89"/>
      <c r="BB240" s="89"/>
    </row>
    <row r="241" spans="1:54" ht="21" x14ac:dyDescent="0.35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  <c r="AC241" s="89"/>
      <c r="AD241" s="89"/>
      <c r="AE241" s="89"/>
      <c r="AF241" s="89"/>
      <c r="AG241" s="89"/>
      <c r="AH241" s="89"/>
      <c r="AI241" s="89"/>
      <c r="AJ241" s="89"/>
      <c r="AK241" s="89"/>
      <c r="AL241" s="89"/>
      <c r="AM241" s="89"/>
      <c r="AN241" s="89"/>
      <c r="AO241" s="89"/>
      <c r="AP241" s="89"/>
      <c r="AQ241" s="89"/>
      <c r="AR241" s="89"/>
      <c r="AS241" s="89"/>
      <c r="AT241" s="89"/>
      <c r="AU241" s="89"/>
      <c r="AV241" s="89"/>
      <c r="AW241" s="89"/>
      <c r="AX241" s="89"/>
      <c r="AY241" s="89"/>
      <c r="AZ241" s="89"/>
      <c r="BA241" s="89"/>
      <c r="BB241" s="89"/>
    </row>
    <row r="242" spans="1:54" ht="21" x14ac:dyDescent="0.35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  <c r="AC242" s="89"/>
      <c r="AD242" s="89"/>
      <c r="AE242" s="89"/>
      <c r="AF242" s="89"/>
      <c r="AG242" s="89"/>
      <c r="AH242" s="89"/>
      <c r="AI242" s="89"/>
      <c r="AJ242" s="89"/>
      <c r="AK242" s="89"/>
      <c r="AL242" s="89"/>
      <c r="AM242" s="89"/>
      <c r="AN242" s="89"/>
      <c r="AO242" s="89"/>
      <c r="AP242" s="89"/>
      <c r="AQ242" s="89"/>
      <c r="AR242" s="89"/>
      <c r="AS242" s="89"/>
      <c r="AT242" s="89"/>
      <c r="AU242" s="89"/>
      <c r="AV242" s="89"/>
      <c r="AW242" s="89"/>
      <c r="AX242" s="89"/>
      <c r="AY242" s="89"/>
      <c r="AZ242" s="89"/>
      <c r="BA242" s="89"/>
      <c r="BB242" s="89"/>
    </row>
    <row r="243" spans="1:54" ht="21" x14ac:dyDescent="0.35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  <c r="AL243" s="89"/>
      <c r="AM243" s="89"/>
      <c r="AN243" s="89"/>
      <c r="AO243" s="89"/>
      <c r="AP243" s="89"/>
      <c r="AQ243" s="89"/>
      <c r="AR243" s="89"/>
      <c r="AS243" s="89"/>
      <c r="AT243" s="89"/>
      <c r="AU243" s="89"/>
      <c r="AV243" s="89"/>
      <c r="AW243" s="89"/>
      <c r="AX243" s="89"/>
      <c r="AY243" s="89"/>
      <c r="AZ243" s="89"/>
      <c r="BA243" s="89"/>
      <c r="BB243" s="89"/>
    </row>
    <row r="244" spans="1:54" ht="21" x14ac:dyDescent="0.35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  <c r="AC244" s="89"/>
      <c r="AD244" s="89"/>
      <c r="AE244" s="89"/>
      <c r="AF244" s="89"/>
      <c r="AG244" s="89"/>
      <c r="AH244" s="89"/>
      <c r="AI244" s="89"/>
      <c r="AJ244" s="89"/>
      <c r="AK244" s="89"/>
      <c r="AL244" s="89"/>
      <c r="AM244" s="89"/>
      <c r="AN244" s="89"/>
      <c r="AO244" s="89"/>
      <c r="AP244" s="89"/>
      <c r="AQ244" s="89"/>
      <c r="AR244" s="89"/>
      <c r="AS244" s="89"/>
      <c r="AT244" s="89"/>
      <c r="AU244" s="89"/>
      <c r="AV244" s="89"/>
      <c r="AW244" s="89"/>
      <c r="AX244" s="89"/>
      <c r="AY244" s="89"/>
      <c r="AZ244" s="89"/>
      <c r="BA244" s="89"/>
      <c r="BB244" s="89"/>
    </row>
    <row r="245" spans="1:54" ht="21" x14ac:dyDescent="0.35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  <c r="AD245" s="89"/>
      <c r="AE245" s="89"/>
      <c r="AF245" s="89"/>
      <c r="AG245" s="89"/>
      <c r="AH245" s="89"/>
      <c r="AI245" s="89"/>
      <c r="AJ245" s="89"/>
      <c r="AK245" s="89"/>
      <c r="AL245" s="89"/>
      <c r="AM245" s="89"/>
      <c r="AN245" s="89"/>
      <c r="AO245" s="89"/>
      <c r="AP245" s="89"/>
      <c r="AQ245" s="89"/>
      <c r="AR245" s="89"/>
      <c r="AS245" s="89"/>
      <c r="AT245" s="89"/>
      <c r="AU245" s="89"/>
      <c r="AV245" s="89"/>
      <c r="AW245" s="89"/>
      <c r="AX245" s="89"/>
      <c r="AY245" s="89"/>
      <c r="AZ245" s="89"/>
      <c r="BA245" s="89"/>
      <c r="BB245" s="89"/>
    </row>
    <row r="246" spans="1:54" ht="21" x14ac:dyDescent="0.35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  <c r="AC246" s="89"/>
      <c r="AD246" s="89"/>
      <c r="AE246" s="89"/>
      <c r="AF246" s="89"/>
      <c r="AG246" s="89"/>
      <c r="AH246" s="89"/>
      <c r="AI246" s="89"/>
      <c r="AJ246" s="89"/>
      <c r="AK246" s="89"/>
      <c r="AL246" s="89"/>
      <c r="AM246" s="89"/>
      <c r="AN246" s="89"/>
      <c r="AO246" s="89"/>
      <c r="AP246" s="89"/>
      <c r="AQ246" s="89"/>
      <c r="AR246" s="89"/>
      <c r="AS246" s="89"/>
      <c r="AT246" s="89"/>
      <c r="AU246" s="89"/>
      <c r="AV246" s="89"/>
      <c r="AW246" s="89"/>
      <c r="AX246" s="89"/>
      <c r="AY246" s="89"/>
      <c r="AZ246" s="89"/>
      <c r="BA246" s="89"/>
      <c r="BB246" s="89"/>
    </row>
    <row r="247" spans="1:54" ht="21" x14ac:dyDescent="0.35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  <c r="AC247" s="89"/>
      <c r="AD247" s="89"/>
      <c r="AE247" s="89"/>
      <c r="AF247" s="89"/>
      <c r="AG247" s="89"/>
      <c r="AH247" s="89"/>
      <c r="AI247" s="89"/>
      <c r="AJ247" s="89"/>
      <c r="AK247" s="89"/>
      <c r="AL247" s="89"/>
      <c r="AM247" s="89"/>
      <c r="AN247" s="89"/>
      <c r="AO247" s="89"/>
      <c r="AP247" s="89"/>
      <c r="AQ247" s="89"/>
      <c r="AR247" s="89"/>
      <c r="AS247" s="89"/>
      <c r="AT247" s="89"/>
      <c r="AU247" s="89"/>
      <c r="AV247" s="89"/>
      <c r="AW247" s="89"/>
      <c r="AX247" s="89"/>
      <c r="AY247" s="89"/>
      <c r="AZ247" s="89"/>
      <c r="BA247" s="89"/>
      <c r="BB247" s="89"/>
    </row>
    <row r="248" spans="1:54" ht="21" x14ac:dyDescent="0.35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  <c r="AC248" s="89"/>
      <c r="AD248" s="89"/>
      <c r="AE248" s="89"/>
      <c r="AF248" s="89"/>
      <c r="AG248" s="89"/>
      <c r="AH248" s="89"/>
      <c r="AI248" s="89"/>
      <c r="AJ248" s="89"/>
      <c r="AK248" s="89"/>
      <c r="AL248" s="89"/>
      <c r="AM248" s="89"/>
      <c r="AN248" s="89"/>
      <c r="AO248" s="89"/>
      <c r="AP248" s="89"/>
      <c r="AQ248" s="89"/>
      <c r="AR248" s="89"/>
      <c r="AS248" s="89"/>
      <c r="AT248" s="89"/>
      <c r="AU248" s="89"/>
      <c r="AV248" s="89"/>
      <c r="AW248" s="89"/>
      <c r="AX248" s="89"/>
      <c r="AY248" s="89"/>
      <c r="AZ248" s="89"/>
      <c r="BA248" s="89"/>
      <c r="BB248" s="89"/>
    </row>
    <row r="249" spans="1:54" ht="21" x14ac:dyDescent="0.35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  <c r="AC249" s="89"/>
      <c r="AD249" s="89"/>
      <c r="AE249" s="89"/>
      <c r="AF249" s="89"/>
      <c r="AG249" s="89"/>
      <c r="AH249" s="89"/>
      <c r="AI249" s="89"/>
      <c r="AJ249" s="89"/>
      <c r="AK249" s="89"/>
      <c r="AL249" s="89"/>
      <c r="AM249" s="89"/>
      <c r="AN249" s="89"/>
      <c r="AO249" s="89"/>
      <c r="AP249" s="89"/>
      <c r="AQ249" s="89"/>
      <c r="AR249" s="89"/>
      <c r="AS249" s="89"/>
      <c r="AT249" s="89"/>
      <c r="AU249" s="89"/>
      <c r="AV249" s="89"/>
      <c r="AW249" s="89"/>
      <c r="AX249" s="89"/>
      <c r="AY249" s="89"/>
      <c r="AZ249" s="89"/>
      <c r="BA249" s="89"/>
      <c r="BB249" s="89"/>
    </row>
    <row r="250" spans="1:54" ht="21" x14ac:dyDescent="0.35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  <c r="AC250" s="89"/>
      <c r="AD250" s="89"/>
      <c r="AE250" s="89"/>
      <c r="AF250" s="89"/>
      <c r="AG250" s="89"/>
      <c r="AH250" s="89"/>
      <c r="AI250" s="89"/>
      <c r="AJ250" s="89"/>
      <c r="AK250" s="89"/>
      <c r="AL250" s="89"/>
      <c r="AM250" s="89"/>
      <c r="AN250" s="89"/>
      <c r="AO250" s="89"/>
      <c r="AP250" s="89"/>
      <c r="AQ250" s="89"/>
      <c r="AR250" s="89"/>
      <c r="AS250" s="89"/>
      <c r="AT250" s="89"/>
      <c r="AU250" s="89"/>
      <c r="AV250" s="89"/>
      <c r="AW250" s="89"/>
      <c r="AX250" s="89"/>
      <c r="AY250" s="89"/>
      <c r="AZ250" s="89"/>
      <c r="BA250" s="89"/>
      <c r="BB250" s="89"/>
    </row>
    <row r="251" spans="1:54" ht="21" x14ac:dyDescent="0.35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  <c r="AD251" s="89"/>
      <c r="AE251" s="89"/>
      <c r="AF251" s="89"/>
      <c r="AG251" s="89"/>
      <c r="AH251" s="89"/>
      <c r="AI251" s="89"/>
      <c r="AJ251" s="89"/>
      <c r="AK251" s="89"/>
      <c r="AL251" s="89"/>
      <c r="AM251" s="89"/>
      <c r="AN251" s="89"/>
      <c r="AO251" s="89"/>
      <c r="AP251" s="89"/>
      <c r="AQ251" s="89"/>
      <c r="AR251" s="89"/>
      <c r="AS251" s="89"/>
      <c r="AT251" s="89"/>
      <c r="AU251" s="89"/>
      <c r="AV251" s="89"/>
      <c r="AW251" s="89"/>
      <c r="AX251" s="89"/>
      <c r="AY251" s="89"/>
      <c r="AZ251" s="89"/>
      <c r="BA251" s="89"/>
      <c r="BB251" s="89"/>
    </row>
    <row r="252" spans="1:54" ht="21" x14ac:dyDescent="0.35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  <c r="AD252" s="89"/>
      <c r="AE252" s="89"/>
      <c r="AF252" s="89"/>
      <c r="AG252" s="89"/>
      <c r="AH252" s="89"/>
      <c r="AI252" s="89"/>
      <c r="AJ252" s="89"/>
      <c r="AK252" s="89"/>
      <c r="AL252" s="89"/>
      <c r="AM252" s="89"/>
      <c r="AN252" s="89"/>
      <c r="AO252" s="89"/>
      <c r="AP252" s="89"/>
      <c r="AQ252" s="89"/>
      <c r="AR252" s="89"/>
      <c r="AS252" s="89"/>
      <c r="AT252" s="89"/>
      <c r="AU252" s="89"/>
      <c r="AV252" s="89"/>
      <c r="AW252" s="89"/>
      <c r="AX252" s="89"/>
      <c r="AY252" s="89"/>
      <c r="AZ252" s="89"/>
      <c r="BA252" s="89"/>
      <c r="BB252" s="89"/>
    </row>
    <row r="253" spans="1:54" ht="21" x14ac:dyDescent="0.35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  <c r="AC253" s="89"/>
      <c r="AD253" s="89"/>
      <c r="AE253" s="89"/>
      <c r="AF253" s="89"/>
      <c r="AG253" s="89"/>
      <c r="AH253" s="89"/>
      <c r="AI253" s="89"/>
      <c r="AJ253" s="89"/>
      <c r="AK253" s="89"/>
      <c r="AL253" s="89"/>
      <c r="AM253" s="89"/>
      <c r="AN253" s="89"/>
      <c r="AO253" s="89"/>
      <c r="AP253" s="89"/>
      <c r="AQ253" s="89"/>
      <c r="AR253" s="89"/>
      <c r="AS253" s="89"/>
      <c r="AT253" s="89"/>
      <c r="AU253" s="89"/>
      <c r="AV253" s="89"/>
      <c r="AW253" s="89"/>
      <c r="AX253" s="89"/>
      <c r="AY253" s="89"/>
      <c r="AZ253" s="89"/>
      <c r="BA253" s="89"/>
      <c r="BB253" s="89"/>
    </row>
    <row r="254" spans="1:54" ht="21" x14ac:dyDescent="0.35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  <c r="AD254" s="89"/>
      <c r="AE254" s="89"/>
      <c r="AF254" s="89"/>
      <c r="AG254" s="89"/>
      <c r="AH254" s="89"/>
      <c r="AI254" s="89"/>
      <c r="AJ254" s="89"/>
      <c r="AK254" s="89"/>
      <c r="AL254" s="89"/>
      <c r="AM254" s="89"/>
      <c r="AN254" s="89"/>
      <c r="AO254" s="89"/>
      <c r="AP254" s="89"/>
      <c r="AQ254" s="89"/>
      <c r="AR254" s="89"/>
      <c r="AS254" s="89"/>
      <c r="AT254" s="89"/>
      <c r="AU254" s="89"/>
      <c r="AV254" s="89"/>
      <c r="AW254" s="89"/>
      <c r="AX254" s="89"/>
      <c r="AY254" s="89"/>
      <c r="AZ254" s="89"/>
      <c r="BA254" s="89"/>
      <c r="BB254" s="89"/>
    </row>
    <row r="255" spans="1:54" ht="21" x14ac:dyDescent="0.35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  <c r="AL255" s="89"/>
      <c r="AM255" s="89"/>
      <c r="AN255" s="89"/>
      <c r="AO255" s="89"/>
      <c r="AP255" s="89"/>
      <c r="AQ255" s="89"/>
      <c r="AR255" s="89"/>
      <c r="AS255" s="89"/>
      <c r="AT255" s="89"/>
      <c r="AU255" s="89"/>
      <c r="AV255" s="89"/>
      <c r="AW255" s="89"/>
      <c r="AX255" s="89"/>
      <c r="AY255" s="89"/>
      <c r="AZ255" s="89"/>
      <c r="BA255" s="89"/>
      <c r="BB255" s="89"/>
    </row>
    <row r="256" spans="1:54" ht="21" x14ac:dyDescent="0.35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  <c r="AD256" s="89"/>
      <c r="AE256" s="89"/>
      <c r="AF256" s="89"/>
      <c r="AG256" s="89"/>
      <c r="AH256" s="89"/>
      <c r="AI256" s="89"/>
      <c r="AJ256" s="89"/>
      <c r="AK256" s="89"/>
      <c r="AL256" s="89"/>
      <c r="AM256" s="89"/>
      <c r="AN256" s="89"/>
      <c r="AO256" s="89"/>
      <c r="AP256" s="89"/>
      <c r="AQ256" s="89"/>
      <c r="AR256" s="89"/>
      <c r="AS256" s="89"/>
      <c r="AT256" s="89"/>
      <c r="AU256" s="89"/>
      <c r="AV256" s="89"/>
      <c r="AW256" s="89"/>
      <c r="AX256" s="89"/>
      <c r="AY256" s="89"/>
      <c r="AZ256" s="89"/>
      <c r="BA256" s="89"/>
      <c r="BB256" s="89"/>
    </row>
    <row r="257" spans="1:54" ht="21" x14ac:dyDescent="0.35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  <c r="AC257" s="89"/>
      <c r="AD257" s="89"/>
      <c r="AE257" s="89"/>
      <c r="AF257" s="89"/>
      <c r="AG257" s="89"/>
      <c r="AH257" s="89"/>
      <c r="AI257" s="89"/>
      <c r="AJ257" s="89"/>
      <c r="AK257" s="89"/>
      <c r="AL257" s="89"/>
      <c r="AM257" s="89"/>
      <c r="AN257" s="89"/>
      <c r="AO257" s="89"/>
      <c r="AP257" s="89"/>
      <c r="AQ257" s="89"/>
      <c r="AR257" s="89"/>
      <c r="AS257" s="89"/>
      <c r="AT257" s="89"/>
      <c r="AU257" s="89"/>
      <c r="AV257" s="89"/>
      <c r="AW257" s="89"/>
      <c r="AX257" s="89"/>
      <c r="AY257" s="89"/>
      <c r="AZ257" s="89"/>
      <c r="BA257" s="89"/>
      <c r="BB257" s="89"/>
    </row>
    <row r="258" spans="1:54" ht="21" x14ac:dyDescent="0.35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  <c r="AD258" s="89"/>
      <c r="AE258" s="89"/>
      <c r="AF258" s="89"/>
      <c r="AG258" s="89"/>
      <c r="AH258" s="89"/>
      <c r="AI258" s="89"/>
      <c r="AJ258" s="89"/>
      <c r="AK258" s="89"/>
      <c r="AL258" s="89"/>
      <c r="AM258" s="89"/>
      <c r="AN258" s="89"/>
      <c r="AO258" s="89"/>
      <c r="AP258" s="89"/>
      <c r="AQ258" s="89"/>
      <c r="AR258" s="89"/>
      <c r="AS258" s="89"/>
      <c r="AT258" s="89"/>
      <c r="AU258" s="89"/>
      <c r="AV258" s="89"/>
      <c r="AW258" s="89"/>
      <c r="AX258" s="89"/>
      <c r="AY258" s="89"/>
      <c r="AZ258" s="89"/>
      <c r="BA258" s="89"/>
      <c r="BB258" s="89"/>
    </row>
    <row r="259" spans="1:54" ht="21" x14ac:dyDescent="0.35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89"/>
      <c r="AN259" s="89"/>
      <c r="AO259" s="89"/>
      <c r="AP259" s="89"/>
      <c r="AQ259" s="89"/>
      <c r="AR259" s="89"/>
      <c r="AS259" s="89"/>
      <c r="AT259" s="89"/>
      <c r="AU259" s="89"/>
      <c r="AV259" s="89"/>
      <c r="AW259" s="89"/>
      <c r="AX259" s="89"/>
      <c r="AY259" s="89"/>
      <c r="AZ259" s="89"/>
      <c r="BA259" s="89"/>
      <c r="BB259" s="89"/>
    </row>
    <row r="260" spans="1:54" ht="21" x14ac:dyDescent="0.35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  <c r="AD260" s="89"/>
      <c r="AE260" s="89"/>
      <c r="AF260" s="89"/>
      <c r="AG260" s="89"/>
      <c r="AH260" s="89"/>
      <c r="AI260" s="89"/>
      <c r="AJ260" s="89"/>
      <c r="AK260" s="89"/>
      <c r="AL260" s="89"/>
      <c r="AM260" s="89"/>
      <c r="AN260" s="89"/>
      <c r="AO260" s="89"/>
      <c r="AP260" s="89"/>
      <c r="AQ260" s="89"/>
      <c r="AR260" s="89"/>
      <c r="AS260" s="89"/>
      <c r="AT260" s="89"/>
      <c r="AU260" s="89"/>
      <c r="AV260" s="89"/>
      <c r="AW260" s="89"/>
      <c r="AX260" s="89"/>
      <c r="AY260" s="89"/>
      <c r="AZ260" s="89"/>
      <c r="BA260" s="89"/>
      <c r="BB260" s="89"/>
    </row>
    <row r="261" spans="1:54" ht="21" x14ac:dyDescent="0.35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  <c r="AC261" s="89"/>
      <c r="AD261" s="89"/>
      <c r="AE261" s="89"/>
      <c r="AF261" s="89"/>
      <c r="AG261" s="89"/>
      <c r="AH261" s="89"/>
      <c r="AI261" s="89"/>
      <c r="AJ261" s="89"/>
      <c r="AK261" s="89"/>
      <c r="AL261" s="89"/>
      <c r="AM261" s="89"/>
      <c r="AN261" s="89"/>
      <c r="AO261" s="89"/>
      <c r="AP261" s="89"/>
      <c r="AQ261" s="89"/>
      <c r="AR261" s="89"/>
      <c r="AS261" s="89"/>
      <c r="AT261" s="89"/>
      <c r="AU261" s="89"/>
      <c r="AV261" s="89"/>
      <c r="AW261" s="89"/>
      <c r="AX261" s="89"/>
      <c r="AY261" s="89"/>
      <c r="AZ261" s="89"/>
      <c r="BA261" s="89"/>
      <c r="BB261" s="89"/>
    </row>
    <row r="262" spans="1:54" ht="21" x14ac:dyDescent="0.35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89"/>
      <c r="AN262" s="89"/>
      <c r="AO262" s="89"/>
      <c r="AP262" s="89"/>
      <c r="AQ262" s="89"/>
      <c r="AR262" s="89"/>
      <c r="AS262" s="89"/>
      <c r="AT262" s="89"/>
      <c r="AU262" s="89"/>
      <c r="AV262" s="89"/>
      <c r="AW262" s="89"/>
      <c r="AX262" s="89"/>
      <c r="AY262" s="89"/>
      <c r="AZ262" s="89"/>
      <c r="BA262" s="89"/>
      <c r="BB262" s="89"/>
    </row>
    <row r="263" spans="1:54" ht="21" x14ac:dyDescent="0.35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  <c r="AD263" s="89"/>
      <c r="AE263" s="89"/>
      <c r="AF263" s="89"/>
      <c r="AG263" s="89"/>
      <c r="AH263" s="89"/>
      <c r="AI263" s="89"/>
      <c r="AJ263" s="89"/>
      <c r="AK263" s="89"/>
      <c r="AL263" s="89"/>
      <c r="AM263" s="89"/>
      <c r="AN263" s="89"/>
      <c r="AO263" s="89"/>
      <c r="AP263" s="89"/>
      <c r="AQ263" s="89"/>
      <c r="AR263" s="89"/>
      <c r="AS263" s="89"/>
      <c r="AT263" s="89"/>
      <c r="AU263" s="89"/>
      <c r="AV263" s="89"/>
      <c r="AW263" s="89"/>
      <c r="AX263" s="89"/>
      <c r="AY263" s="89"/>
      <c r="AZ263" s="89"/>
      <c r="BA263" s="89"/>
      <c r="BB263" s="89"/>
    </row>
    <row r="264" spans="1:54" ht="21" x14ac:dyDescent="0.35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  <c r="AD264" s="89"/>
      <c r="AE264" s="89"/>
      <c r="AF264" s="89"/>
      <c r="AG264" s="89"/>
      <c r="AH264" s="89"/>
      <c r="AI264" s="89"/>
      <c r="AJ264" s="89"/>
      <c r="AK264" s="89"/>
      <c r="AL264" s="89"/>
      <c r="AM264" s="89"/>
      <c r="AN264" s="89"/>
      <c r="AO264" s="89"/>
      <c r="AP264" s="89"/>
      <c r="AQ264" s="89"/>
      <c r="AR264" s="89"/>
      <c r="AS264" s="89"/>
      <c r="AT264" s="89"/>
      <c r="AU264" s="89"/>
      <c r="AV264" s="89"/>
      <c r="AW264" s="89"/>
      <c r="AX264" s="89"/>
      <c r="AY264" s="89"/>
      <c r="AZ264" s="89"/>
      <c r="BA264" s="89"/>
      <c r="BB264" s="89"/>
    </row>
    <row r="265" spans="1:54" ht="21" x14ac:dyDescent="0.35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  <c r="AL265" s="89"/>
      <c r="AM265" s="89"/>
      <c r="AN265" s="89"/>
      <c r="AO265" s="89"/>
      <c r="AP265" s="89"/>
      <c r="AQ265" s="89"/>
      <c r="AR265" s="89"/>
      <c r="AS265" s="89"/>
      <c r="AT265" s="89"/>
      <c r="AU265" s="89"/>
      <c r="AV265" s="89"/>
      <c r="AW265" s="89"/>
      <c r="AX265" s="89"/>
      <c r="AY265" s="89"/>
      <c r="AZ265" s="89"/>
      <c r="BA265" s="89"/>
      <c r="BB265" s="89"/>
    </row>
    <row r="266" spans="1:54" ht="21" x14ac:dyDescent="0.35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  <c r="AD266" s="89"/>
      <c r="AE266" s="89"/>
      <c r="AF266" s="89"/>
      <c r="AG266" s="89"/>
      <c r="AH266" s="89"/>
      <c r="AI266" s="89"/>
      <c r="AJ266" s="89"/>
      <c r="AK266" s="89"/>
      <c r="AL266" s="89"/>
      <c r="AM266" s="89"/>
      <c r="AN266" s="89"/>
      <c r="AO266" s="89"/>
      <c r="AP266" s="89"/>
      <c r="AQ266" s="89"/>
      <c r="AR266" s="89"/>
      <c r="AS266" s="89"/>
      <c r="AT266" s="89"/>
      <c r="AU266" s="89"/>
      <c r="AV266" s="89"/>
      <c r="AW266" s="89"/>
      <c r="AX266" s="89"/>
      <c r="AY266" s="89"/>
      <c r="AZ266" s="89"/>
      <c r="BA266" s="89"/>
      <c r="BB266" s="89"/>
    </row>
    <row r="267" spans="1:54" ht="21" x14ac:dyDescent="0.35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89"/>
      <c r="AD267" s="89"/>
      <c r="AE267" s="89"/>
      <c r="AF267" s="89"/>
      <c r="AG267" s="89"/>
      <c r="AH267" s="89"/>
      <c r="AI267" s="89"/>
      <c r="AJ267" s="89"/>
      <c r="AK267" s="89"/>
      <c r="AL267" s="89"/>
      <c r="AM267" s="89"/>
      <c r="AN267" s="89"/>
      <c r="AO267" s="89"/>
      <c r="AP267" s="89"/>
      <c r="AQ267" s="89"/>
      <c r="AR267" s="89"/>
      <c r="AS267" s="89"/>
      <c r="AT267" s="89"/>
      <c r="AU267" s="89"/>
      <c r="AV267" s="89"/>
      <c r="AW267" s="89"/>
      <c r="AX267" s="89"/>
      <c r="AY267" s="89"/>
      <c r="AZ267" s="89"/>
      <c r="BA267" s="89"/>
      <c r="BB267" s="89"/>
    </row>
    <row r="268" spans="1:54" ht="21" x14ac:dyDescent="0.35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  <c r="AD268" s="89"/>
      <c r="AE268" s="89"/>
      <c r="AF268" s="89"/>
      <c r="AG268" s="89"/>
      <c r="AH268" s="89"/>
      <c r="AI268" s="89"/>
      <c r="AJ268" s="89"/>
      <c r="AK268" s="89"/>
      <c r="AL268" s="89"/>
      <c r="AM268" s="89"/>
      <c r="AN268" s="89"/>
      <c r="AO268" s="89"/>
      <c r="AP268" s="89"/>
      <c r="AQ268" s="89"/>
      <c r="AR268" s="89"/>
      <c r="AS268" s="89"/>
      <c r="AT268" s="89"/>
      <c r="AU268" s="89"/>
      <c r="AV268" s="89"/>
      <c r="AW268" s="89"/>
      <c r="AX268" s="89"/>
      <c r="AY268" s="89"/>
      <c r="AZ268" s="89"/>
      <c r="BA268" s="89"/>
      <c r="BB268" s="89"/>
    </row>
    <row r="269" spans="1:54" ht="21" x14ac:dyDescent="0.35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  <c r="AD269" s="89"/>
      <c r="AE269" s="89"/>
      <c r="AF269" s="89"/>
      <c r="AG269" s="89"/>
      <c r="AH269" s="89"/>
      <c r="AI269" s="89"/>
      <c r="AJ269" s="89"/>
      <c r="AK269" s="89"/>
      <c r="AL269" s="89"/>
      <c r="AM269" s="89"/>
      <c r="AN269" s="89"/>
      <c r="AO269" s="89"/>
      <c r="AP269" s="89"/>
      <c r="AQ269" s="89"/>
      <c r="AR269" s="89"/>
      <c r="AS269" s="89"/>
      <c r="AT269" s="89"/>
      <c r="AU269" s="89"/>
      <c r="AV269" s="89"/>
      <c r="AW269" s="89"/>
      <c r="AX269" s="89"/>
      <c r="AY269" s="89"/>
      <c r="AZ269" s="89"/>
      <c r="BA269" s="89"/>
      <c r="BB269" s="89"/>
    </row>
    <row r="270" spans="1:54" ht="21" x14ac:dyDescent="0.35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  <c r="AD270" s="89"/>
      <c r="AE270" s="89"/>
      <c r="AF270" s="89"/>
      <c r="AG270" s="89"/>
      <c r="AH270" s="89"/>
      <c r="AI270" s="89"/>
      <c r="AJ270" s="89"/>
      <c r="AK270" s="89"/>
      <c r="AL270" s="89"/>
      <c r="AM270" s="89"/>
      <c r="AN270" s="89"/>
      <c r="AO270" s="89"/>
      <c r="AP270" s="89"/>
      <c r="AQ270" s="89"/>
      <c r="AR270" s="89"/>
      <c r="AS270" s="89"/>
      <c r="AT270" s="89"/>
      <c r="AU270" s="89"/>
      <c r="AV270" s="89"/>
      <c r="AW270" s="89"/>
      <c r="AX270" s="89"/>
      <c r="AY270" s="89"/>
      <c r="AZ270" s="89"/>
      <c r="BA270" s="89"/>
      <c r="BB270" s="89"/>
    </row>
    <row r="271" spans="1:54" ht="21" x14ac:dyDescent="0.35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  <c r="AD271" s="89"/>
      <c r="AE271" s="89"/>
      <c r="AF271" s="89"/>
      <c r="AG271" s="89"/>
      <c r="AH271" s="89"/>
      <c r="AI271" s="89"/>
      <c r="AJ271" s="89"/>
      <c r="AK271" s="89"/>
      <c r="AL271" s="89"/>
      <c r="AM271" s="89"/>
      <c r="AN271" s="89"/>
      <c r="AO271" s="89"/>
      <c r="AP271" s="89"/>
      <c r="AQ271" s="89"/>
      <c r="AR271" s="89"/>
      <c r="AS271" s="89"/>
      <c r="AT271" s="89"/>
      <c r="AU271" s="89"/>
      <c r="AV271" s="89"/>
      <c r="AW271" s="89"/>
      <c r="AX271" s="89"/>
      <c r="AY271" s="89"/>
      <c r="AZ271" s="89"/>
      <c r="BA271" s="89"/>
      <c r="BB271" s="89"/>
    </row>
    <row r="272" spans="1:54" ht="21" x14ac:dyDescent="0.35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  <c r="AD272" s="89"/>
      <c r="AE272" s="89"/>
      <c r="AF272" s="89"/>
      <c r="AG272" s="89"/>
      <c r="AH272" s="89"/>
      <c r="AI272" s="89"/>
      <c r="AJ272" s="89"/>
      <c r="AK272" s="89"/>
      <c r="AL272" s="89"/>
      <c r="AM272" s="89"/>
      <c r="AN272" s="89"/>
      <c r="AO272" s="89"/>
      <c r="AP272" s="89"/>
      <c r="AQ272" s="89"/>
      <c r="AR272" s="89"/>
      <c r="AS272" s="89"/>
      <c r="AT272" s="89"/>
      <c r="AU272" s="89"/>
      <c r="AV272" s="89"/>
      <c r="AW272" s="89"/>
      <c r="AX272" s="89"/>
      <c r="AY272" s="89"/>
      <c r="AZ272" s="89"/>
      <c r="BA272" s="89"/>
      <c r="BB272" s="89"/>
    </row>
    <row r="273" spans="1:54" ht="21" x14ac:dyDescent="0.35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  <c r="AC273" s="89"/>
      <c r="AD273" s="89"/>
      <c r="AE273" s="89"/>
      <c r="AF273" s="89"/>
      <c r="AG273" s="89"/>
      <c r="AH273" s="89"/>
      <c r="AI273" s="89"/>
      <c r="AJ273" s="89"/>
      <c r="AK273" s="89"/>
      <c r="AL273" s="89"/>
      <c r="AM273" s="89"/>
      <c r="AN273" s="89"/>
      <c r="AO273" s="89"/>
      <c r="AP273" s="89"/>
      <c r="AQ273" s="89"/>
      <c r="AR273" s="89"/>
      <c r="AS273" s="89"/>
      <c r="AT273" s="89"/>
      <c r="AU273" s="89"/>
      <c r="AV273" s="89"/>
      <c r="AW273" s="89"/>
      <c r="AX273" s="89"/>
      <c r="AY273" s="89"/>
      <c r="AZ273" s="89"/>
      <c r="BA273" s="89"/>
      <c r="BB273" s="89"/>
    </row>
    <row r="274" spans="1:54" ht="21" x14ac:dyDescent="0.35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  <c r="AD274" s="89"/>
      <c r="AE274" s="89"/>
      <c r="AF274" s="89"/>
      <c r="AG274" s="89"/>
      <c r="AH274" s="89"/>
      <c r="AI274" s="89"/>
      <c r="AJ274" s="89"/>
      <c r="AK274" s="89"/>
      <c r="AL274" s="89"/>
      <c r="AM274" s="89"/>
      <c r="AN274" s="89"/>
      <c r="AO274" s="89"/>
      <c r="AP274" s="89"/>
      <c r="AQ274" s="89"/>
      <c r="AR274" s="89"/>
      <c r="AS274" s="89"/>
      <c r="AT274" s="89"/>
      <c r="AU274" s="89"/>
      <c r="AV274" s="89"/>
      <c r="AW274" s="89"/>
      <c r="AX274" s="89"/>
      <c r="AY274" s="89"/>
      <c r="AZ274" s="89"/>
      <c r="BA274" s="89"/>
      <c r="BB274" s="89"/>
    </row>
    <row r="275" spans="1:54" ht="21" x14ac:dyDescent="0.35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  <c r="AC275" s="89"/>
      <c r="AD275" s="89"/>
      <c r="AE275" s="89"/>
      <c r="AF275" s="89"/>
      <c r="AG275" s="89"/>
      <c r="AH275" s="89"/>
      <c r="AI275" s="89"/>
      <c r="AJ275" s="89"/>
      <c r="AK275" s="89"/>
      <c r="AL275" s="89"/>
      <c r="AM275" s="89"/>
      <c r="AN275" s="89"/>
      <c r="AO275" s="89"/>
      <c r="AP275" s="89"/>
      <c r="AQ275" s="89"/>
      <c r="AR275" s="89"/>
      <c r="AS275" s="89"/>
      <c r="AT275" s="89"/>
      <c r="AU275" s="89"/>
      <c r="AV275" s="89"/>
      <c r="AW275" s="89"/>
      <c r="AX275" s="89"/>
      <c r="AY275" s="89"/>
      <c r="AZ275" s="89"/>
      <c r="BA275" s="89"/>
      <c r="BB275" s="89"/>
    </row>
    <row r="276" spans="1:54" ht="21" x14ac:dyDescent="0.35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  <c r="AD276" s="89"/>
      <c r="AE276" s="89"/>
      <c r="AF276" s="89"/>
      <c r="AG276" s="89"/>
      <c r="AH276" s="89"/>
      <c r="AI276" s="89"/>
      <c r="AJ276" s="89"/>
      <c r="AK276" s="89"/>
      <c r="AL276" s="89"/>
      <c r="AM276" s="89"/>
      <c r="AN276" s="89"/>
      <c r="AO276" s="89"/>
      <c r="AP276" s="89"/>
      <c r="AQ276" s="89"/>
      <c r="AR276" s="89"/>
      <c r="AS276" s="89"/>
      <c r="AT276" s="89"/>
      <c r="AU276" s="89"/>
      <c r="AV276" s="89"/>
      <c r="AW276" s="89"/>
      <c r="AX276" s="89"/>
      <c r="AY276" s="89"/>
      <c r="AZ276" s="89"/>
      <c r="BA276" s="89"/>
      <c r="BB276" s="89"/>
    </row>
    <row r="277" spans="1:54" ht="21" x14ac:dyDescent="0.35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  <c r="AD277" s="89"/>
      <c r="AE277" s="89"/>
      <c r="AF277" s="89"/>
      <c r="AG277" s="89"/>
      <c r="AH277" s="89"/>
      <c r="AI277" s="89"/>
      <c r="AJ277" s="89"/>
      <c r="AK277" s="89"/>
      <c r="AL277" s="89"/>
      <c r="AM277" s="89"/>
      <c r="AN277" s="89"/>
      <c r="AO277" s="89"/>
      <c r="AP277" s="89"/>
      <c r="AQ277" s="89"/>
      <c r="AR277" s="89"/>
      <c r="AS277" s="89"/>
      <c r="AT277" s="89"/>
      <c r="AU277" s="89"/>
      <c r="AV277" s="89"/>
      <c r="AW277" s="89"/>
      <c r="AX277" s="89"/>
      <c r="AY277" s="89"/>
      <c r="AZ277" s="89"/>
      <c r="BA277" s="89"/>
      <c r="BB277" s="89"/>
    </row>
    <row r="278" spans="1:54" ht="21" x14ac:dyDescent="0.35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  <c r="AD278" s="89"/>
      <c r="AE278" s="89"/>
      <c r="AF278" s="89"/>
      <c r="AG278" s="89"/>
      <c r="AH278" s="89"/>
      <c r="AI278" s="89"/>
      <c r="AJ278" s="89"/>
      <c r="AK278" s="89"/>
      <c r="AL278" s="89"/>
      <c r="AM278" s="89"/>
      <c r="AN278" s="89"/>
      <c r="AO278" s="89"/>
      <c r="AP278" s="89"/>
      <c r="AQ278" s="89"/>
      <c r="AR278" s="89"/>
      <c r="AS278" s="89"/>
      <c r="AT278" s="89"/>
      <c r="AU278" s="89"/>
      <c r="AV278" s="89"/>
      <c r="AW278" s="89"/>
      <c r="AX278" s="89"/>
      <c r="AY278" s="89"/>
      <c r="AZ278" s="89"/>
      <c r="BA278" s="89"/>
      <c r="BB278" s="89"/>
    </row>
    <row r="279" spans="1:54" ht="21" x14ac:dyDescent="0.35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  <c r="AD279" s="89"/>
      <c r="AE279" s="89"/>
      <c r="AF279" s="89"/>
      <c r="AG279" s="89"/>
      <c r="AH279" s="89"/>
      <c r="AI279" s="89"/>
      <c r="AJ279" s="89"/>
      <c r="AK279" s="89"/>
      <c r="AL279" s="89"/>
      <c r="AM279" s="89"/>
      <c r="AN279" s="89"/>
      <c r="AO279" s="89"/>
      <c r="AP279" s="89"/>
      <c r="AQ279" s="89"/>
      <c r="AR279" s="89"/>
      <c r="AS279" s="89"/>
      <c r="AT279" s="89"/>
      <c r="AU279" s="89"/>
      <c r="AV279" s="89"/>
      <c r="AW279" s="89"/>
      <c r="AX279" s="89"/>
      <c r="AY279" s="89"/>
      <c r="AZ279" s="89"/>
      <c r="BA279" s="89"/>
      <c r="BB279" s="89"/>
    </row>
    <row r="280" spans="1:54" ht="21" x14ac:dyDescent="0.35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89"/>
      <c r="AN280" s="89"/>
      <c r="AO280" s="89"/>
      <c r="AP280" s="89"/>
      <c r="AQ280" s="89"/>
      <c r="AR280" s="89"/>
      <c r="AS280" s="89"/>
      <c r="AT280" s="89"/>
      <c r="AU280" s="89"/>
      <c r="AV280" s="89"/>
      <c r="AW280" s="89"/>
      <c r="AX280" s="89"/>
      <c r="AY280" s="89"/>
      <c r="AZ280" s="89"/>
      <c r="BA280" s="89"/>
      <c r="BB280" s="89"/>
    </row>
    <row r="281" spans="1:54" ht="21" x14ac:dyDescent="0.35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  <c r="AC281" s="89"/>
      <c r="AD281" s="89"/>
      <c r="AE281" s="89"/>
      <c r="AF281" s="89"/>
      <c r="AG281" s="89"/>
      <c r="AH281" s="89"/>
      <c r="AI281" s="89"/>
      <c r="AJ281" s="89"/>
      <c r="AK281" s="89"/>
      <c r="AL281" s="89"/>
      <c r="AM281" s="89"/>
      <c r="AN281" s="89"/>
      <c r="AO281" s="89"/>
      <c r="AP281" s="89"/>
      <c r="AQ281" s="89"/>
      <c r="AR281" s="89"/>
      <c r="AS281" s="89"/>
      <c r="AT281" s="89"/>
      <c r="AU281" s="89"/>
      <c r="AV281" s="89"/>
      <c r="AW281" s="89"/>
      <c r="AX281" s="89"/>
      <c r="AY281" s="89"/>
      <c r="AZ281" s="89"/>
      <c r="BA281" s="89"/>
      <c r="BB281" s="89"/>
    </row>
    <row r="282" spans="1:54" ht="21" x14ac:dyDescent="0.35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  <c r="AD282" s="89"/>
      <c r="AE282" s="89"/>
      <c r="AF282" s="89"/>
      <c r="AG282" s="89"/>
      <c r="AH282" s="89"/>
      <c r="AI282" s="89"/>
      <c r="AJ282" s="89"/>
      <c r="AK282" s="89"/>
      <c r="AL282" s="89"/>
      <c r="AM282" s="89"/>
      <c r="AN282" s="89"/>
      <c r="AO282" s="89"/>
      <c r="AP282" s="89"/>
      <c r="AQ282" s="89"/>
      <c r="AR282" s="89"/>
      <c r="AS282" s="89"/>
      <c r="AT282" s="89"/>
      <c r="AU282" s="89"/>
      <c r="AV282" s="89"/>
      <c r="AW282" s="89"/>
      <c r="AX282" s="89"/>
      <c r="AY282" s="89"/>
      <c r="AZ282" s="89"/>
      <c r="BA282" s="89"/>
      <c r="BB282" s="89"/>
    </row>
    <row r="283" spans="1:54" ht="21" x14ac:dyDescent="0.35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  <c r="AD283" s="89"/>
      <c r="AE283" s="89"/>
      <c r="AF283" s="89"/>
      <c r="AG283" s="89"/>
      <c r="AH283" s="89"/>
      <c r="AI283" s="89"/>
      <c r="AJ283" s="89"/>
      <c r="AK283" s="89"/>
      <c r="AL283" s="89"/>
      <c r="AM283" s="89"/>
      <c r="AN283" s="89"/>
      <c r="AO283" s="89"/>
      <c r="AP283" s="89"/>
      <c r="AQ283" s="89"/>
      <c r="AR283" s="89"/>
      <c r="AS283" s="89"/>
      <c r="AT283" s="89"/>
      <c r="AU283" s="89"/>
      <c r="AV283" s="89"/>
      <c r="AW283" s="89"/>
      <c r="AX283" s="89"/>
      <c r="AY283" s="89"/>
      <c r="AZ283" s="89"/>
      <c r="BA283" s="89"/>
      <c r="BB283" s="89"/>
    </row>
    <row r="284" spans="1:54" ht="21" x14ac:dyDescent="0.35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  <c r="AD284" s="89"/>
      <c r="AE284" s="89"/>
      <c r="AF284" s="89"/>
      <c r="AG284" s="89"/>
      <c r="AH284" s="89"/>
      <c r="AI284" s="89"/>
      <c r="AJ284" s="89"/>
      <c r="AK284" s="89"/>
      <c r="AL284" s="89"/>
      <c r="AM284" s="89"/>
      <c r="AN284" s="89"/>
      <c r="AO284" s="89"/>
      <c r="AP284" s="89"/>
      <c r="AQ284" s="89"/>
      <c r="AR284" s="89"/>
      <c r="AS284" s="89"/>
      <c r="AT284" s="89"/>
      <c r="AU284" s="89"/>
      <c r="AV284" s="89"/>
      <c r="AW284" s="89"/>
      <c r="AX284" s="89"/>
      <c r="AY284" s="89"/>
      <c r="AZ284" s="89"/>
      <c r="BA284" s="89"/>
      <c r="BB284" s="89"/>
    </row>
    <row r="285" spans="1:54" ht="21" x14ac:dyDescent="0.35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  <c r="AD285" s="89"/>
      <c r="AE285" s="89"/>
      <c r="AF285" s="89"/>
      <c r="AG285" s="89"/>
      <c r="AH285" s="89"/>
      <c r="AI285" s="89"/>
      <c r="AJ285" s="89"/>
      <c r="AK285" s="89"/>
      <c r="AL285" s="89"/>
      <c r="AM285" s="89"/>
      <c r="AN285" s="89"/>
      <c r="AO285" s="89"/>
      <c r="AP285" s="89"/>
      <c r="AQ285" s="89"/>
      <c r="AR285" s="89"/>
      <c r="AS285" s="89"/>
      <c r="AT285" s="89"/>
      <c r="AU285" s="89"/>
      <c r="AV285" s="89"/>
      <c r="AW285" s="89"/>
      <c r="AX285" s="89"/>
      <c r="AY285" s="89"/>
      <c r="AZ285" s="89"/>
      <c r="BA285" s="89"/>
      <c r="BB285" s="89"/>
    </row>
    <row r="286" spans="1:54" ht="21" x14ac:dyDescent="0.35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  <c r="AD286" s="89"/>
      <c r="AE286" s="89"/>
      <c r="AF286" s="89"/>
      <c r="AG286" s="89"/>
      <c r="AH286" s="89"/>
      <c r="AI286" s="89"/>
      <c r="AJ286" s="89"/>
      <c r="AK286" s="89"/>
      <c r="AL286" s="89"/>
      <c r="AM286" s="89"/>
      <c r="AN286" s="89"/>
      <c r="AO286" s="89"/>
      <c r="AP286" s="89"/>
      <c r="AQ286" s="89"/>
      <c r="AR286" s="89"/>
      <c r="AS286" s="89"/>
      <c r="AT286" s="89"/>
      <c r="AU286" s="89"/>
      <c r="AV286" s="89"/>
      <c r="AW286" s="89"/>
      <c r="AX286" s="89"/>
      <c r="AY286" s="89"/>
      <c r="AZ286" s="89"/>
      <c r="BA286" s="89"/>
      <c r="BB286" s="89"/>
    </row>
    <row r="287" spans="1:54" ht="21" x14ac:dyDescent="0.35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  <c r="AD287" s="89"/>
      <c r="AE287" s="89"/>
      <c r="AF287" s="89"/>
      <c r="AG287" s="89"/>
      <c r="AH287" s="89"/>
      <c r="AI287" s="89"/>
      <c r="AJ287" s="89"/>
      <c r="AK287" s="89"/>
      <c r="AL287" s="89"/>
      <c r="AM287" s="89"/>
      <c r="AN287" s="89"/>
      <c r="AO287" s="89"/>
      <c r="AP287" s="89"/>
      <c r="AQ287" s="89"/>
      <c r="AR287" s="89"/>
      <c r="AS287" s="89"/>
      <c r="AT287" s="89"/>
      <c r="AU287" s="89"/>
      <c r="AV287" s="89"/>
      <c r="AW287" s="89"/>
      <c r="AX287" s="89"/>
      <c r="AY287" s="89"/>
      <c r="AZ287" s="89"/>
      <c r="BA287" s="89"/>
      <c r="BB287" s="89"/>
    </row>
    <row r="288" spans="1:54" ht="21" x14ac:dyDescent="0.35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  <c r="AD288" s="89"/>
      <c r="AE288" s="89"/>
      <c r="AF288" s="89"/>
      <c r="AG288" s="89"/>
      <c r="AH288" s="89"/>
      <c r="AI288" s="89"/>
      <c r="AJ288" s="89"/>
      <c r="AK288" s="89"/>
      <c r="AL288" s="89"/>
      <c r="AM288" s="89"/>
      <c r="AN288" s="89"/>
      <c r="AO288" s="89"/>
      <c r="AP288" s="89"/>
      <c r="AQ288" s="89"/>
      <c r="AR288" s="89"/>
      <c r="AS288" s="89"/>
      <c r="AT288" s="89"/>
      <c r="AU288" s="89"/>
      <c r="AV288" s="89"/>
      <c r="AW288" s="89"/>
      <c r="AX288" s="89"/>
      <c r="AY288" s="89"/>
      <c r="AZ288" s="89"/>
      <c r="BA288" s="89"/>
      <c r="BB288" s="89"/>
    </row>
    <row r="289" spans="1:54" ht="21" x14ac:dyDescent="0.35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89"/>
      <c r="AN289" s="89"/>
      <c r="AO289" s="89"/>
      <c r="AP289" s="89"/>
      <c r="AQ289" s="89"/>
      <c r="AR289" s="89"/>
      <c r="AS289" s="89"/>
      <c r="AT289" s="89"/>
      <c r="AU289" s="89"/>
      <c r="AV289" s="89"/>
      <c r="AW289" s="89"/>
      <c r="AX289" s="89"/>
      <c r="AY289" s="89"/>
      <c r="AZ289" s="89"/>
      <c r="BA289" s="89"/>
      <c r="BB289" s="89"/>
    </row>
    <row r="290" spans="1:54" ht="21" x14ac:dyDescent="0.35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  <c r="AD290" s="89"/>
      <c r="AE290" s="89"/>
      <c r="AF290" s="89"/>
      <c r="AG290" s="89"/>
      <c r="AH290" s="89"/>
      <c r="AI290" s="89"/>
      <c r="AJ290" s="89"/>
      <c r="AK290" s="89"/>
      <c r="AL290" s="89"/>
      <c r="AM290" s="89"/>
      <c r="AN290" s="89"/>
      <c r="AO290" s="89"/>
      <c r="AP290" s="89"/>
      <c r="AQ290" s="89"/>
      <c r="AR290" s="89"/>
      <c r="AS290" s="89"/>
      <c r="AT290" s="89"/>
      <c r="AU290" s="89"/>
      <c r="AV290" s="89"/>
      <c r="AW290" s="89"/>
      <c r="AX290" s="89"/>
      <c r="AY290" s="89"/>
      <c r="AZ290" s="89"/>
      <c r="BA290" s="89"/>
      <c r="BB290" s="89"/>
    </row>
    <row r="291" spans="1:54" ht="21" x14ac:dyDescent="0.35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  <c r="AC291" s="89"/>
      <c r="AD291" s="89"/>
      <c r="AE291" s="89"/>
      <c r="AF291" s="89"/>
      <c r="AG291" s="89"/>
      <c r="AH291" s="89"/>
      <c r="AI291" s="89"/>
      <c r="AJ291" s="89"/>
      <c r="AK291" s="89"/>
      <c r="AL291" s="89"/>
      <c r="AM291" s="89"/>
      <c r="AN291" s="89"/>
      <c r="AO291" s="89"/>
      <c r="AP291" s="89"/>
      <c r="AQ291" s="89"/>
      <c r="AR291" s="89"/>
      <c r="AS291" s="89"/>
      <c r="AT291" s="89"/>
      <c r="AU291" s="89"/>
      <c r="AV291" s="89"/>
      <c r="AW291" s="89"/>
      <c r="AX291" s="89"/>
      <c r="AY291" s="89"/>
      <c r="AZ291" s="89"/>
      <c r="BA291" s="89"/>
      <c r="BB291" s="89"/>
    </row>
    <row r="292" spans="1:54" ht="21" x14ac:dyDescent="0.35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  <c r="AD292" s="89"/>
      <c r="AE292" s="89"/>
      <c r="AF292" s="89"/>
      <c r="AG292" s="89"/>
      <c r="AH292" s="89"/>
      <c r="AI292" s="89"/>
      <c r="AJ292" s="89"/>
      <c r="AK292" s="89"/>
      <c r="AL292" s="89"/>
      <c r="AM292" s="89"/>
      <c r="AN292" s="89"/>
      <c r="AO292" s="89"/>
      <c r="AP292" s="89"/>
      <c r="AQ292" s="89"/>
      <c r="AR292" s="89"/>
      <c r="AS292" s="89"/>
      <c r="AT292" s="89"/>
      <c r="AU292" s="89"/>
      <c r="AV292" s="89"/>
      <c r="AW292" s="89"/>
      <c r="AX292" s="89"/>
      <c r="AY292" s="89"/>
      <c r="AZ292" s="89"/>
      <c r="BA292" s="89"/>
      <c r="BB292" s="89"/>
    </row>
    <row r="293" spans="1:54" ht="21" x14ac:dyDescent="0.35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  <c r="AD293" s="89"/>
      <c r="AE293" s="89"/>
      <c r="AF293" s="89"/>
      <c r="AG293" s="89"/>
      <c r="AH293" s="89"/>
      <c r="AI293" s="89"/>
      <c r="AJ293" s="89"/>
      <c r="AK293" s="89"/>
      <c r="AL293" s="89"/>
      <c r="AM293" s="89"/>
      <c r="AN293" s="89"/>
      <c r="AO293" s="89"/>
      <c r="AP293" s="89"/>
      <c r="AQ293" s="89"/>
      <c r="AR293" s="89"/>
      <c r="AS293" s="89"/>
      <c r="AT293" s="89"/>
      <c r="AU293" s="89"/>
      <c r="AV293" s="89"/>
      <c r="AW293" s="89"/>
      <c r="AX293" s="89"/>
      <c r="AY293" s="89"/>
      <c r="AZ293" s="89"/>
      <c r="BA293" s="89"/>
      <c r="BB293" s="89"/>
    </row>
    <row r="294" spans="1:54" ht="21" x14ac:dyDescent="0.35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  <c r="AD294" s="89"/>
      <c r="AE294" s="89"/>
      <c r="AF294" s="89"/>
      <c r="AG294" s="89"/>
      <c r="AH294" s="89"/>
      <c r="AI294" s="89"/>
      <c r="AJ294" s="89"/>
      <c r="AK294" s="89"/>
      <c r="AL294" s="89"/>
      <c r="AM294" s="89"/>
      <c r="AN294" s="89"/>
      <c r="AO294" s="89"/>
      <c r="AP294" s="89"/>
      <c r="AQ294" s="89"/>
      <c r="AR294" s="89"/>
      <c r="AS294" s="89"/>
      <c r="AT294" s="89"/>
      <c r="AU294" s="89"/>
      <c r="AV294" s="89"/>
      <c r="AW294" s="89"/>
      <c r="AX294" s="89"/>
      <c r="AY294" s="89"/>
      <c r="AZ294" s="89"/>
      <c r="BA294" s="89"/>
      <c r="BB294" s="89"/>
    </row>
    <row r="295" spans="1:54" ht="21" x14ac:dyDescent="0.35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  <c r="AD295" s="89"/>
      <c r="AE295" s="89"/>
      <c r="AF295" s="89"/>
      <c r="AG295" s="89"/>
      <c r="AH295" s="89"/>
      <c r="AI295" s="89"/>
      <c r="AJ295" s="89"/>
      <c r="AK295" s="89"/>
      <c r="AL295" s="89"/>
      <c r="AM295" s="89"/>
      <c r="AN295" s="89"/>
      <c r="AO295" s="89"/>
      <c r="AP295" s="89"/>
      <c r="AQ295" s="89"/>
      <c r="AR295" s="89"/>
      <c r="AS295" s="89"/>
      <c r="AT295" s="89"/>
      <c r="AU295" s="89"/>
      <c r="AV295" s="89"/>
      <c r="AW295" s="89"/>
      <c r="AX295" s="89"/>
      <c r="AY295" s="89"/>
      <c r="AZ295" s="89"/>
      <c r="BA295" s="89"/>
      <c r="BB295" s="89"/>
    </row>
    <row r="296" spans="1:54" ht="21" x14ac:dyDescent="0.35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  <c r="AD296" s="89"/>
      <c r="AE296" s="89"/>
      <c r="AF296" s="89"/>
      <c r="AG296" s="89"/>
      <c r="AH296" s="89"/>
      <c r="AI296" s="89"/>
      <c r="AJ296" s="89"/>
      <c r="AK296" s="89"/>
      <c r="AL296" s="89"/>
      <c r="AM296" s="89"/>
      <c r="AN296" s="89"/>
      <c r="AO296" s="89"/>
      <c r="AP296" s="89"/>
      <c r="AQ296" s="89"/>
      <c r="AR296" s="89"/>
      <c r="AS296" s="89"/>
      <c r="AT296" s="89"/>
      <c r="AU296" s="89"/>
      <c r="AV296" s="89"/>
      <c r="AW296" s="89"/>
      <c r="AX296" s="89"/>
      <c r="AY296" s="89"/>
      <c r="AZ296" s="89"/>
      <c r="BA296" s="89"/>
      <c r="BB296" s="89"/>
    </row>
    <row r="297" spans="1:54" ht="21" x14ac:dyDescent="0.35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  <c r="AD297" s="89"/>
      <c r="AE297" s="89"/>
      <c r="AF297" s="89"/>
      <c r="AG297" s="89"/>
      <c r="AH297" s="89"/>
      <c r="AI297" s="89"/>
      <c r="AJ297" s="89"/>
      <c r="AK297" s="89"/>
      <c r="AL297" s="89"/>
      <c r="AM297" s="89"/>
      <c r="AN297" s="89"/>
      <c r="AO297" s="89"/>
      <c r="AP297" s="89"/>
      <c r="AQ297" s="89"/>
      <c r="AR297" s="89"/>
      <c r="AS297" s="89"/>
      <c r="AT297" s="89"/>
      <c r="AU297" s="89"/>
      <c r="AV297" s="89"/>
      <c r="AW297" s="89"/>
      <c r="AX297" s="89"/>
      <c r="AY297" s="89"/>
      <c r="AZ297" s="89"/>
      <c r="BA297" s="89"/>
      <c r="BB297" s="89"/>
    </row>
    <row r="298" spans="1:54" ht="21" x14ac:dyDescent="0.35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  <c r="AD298" s="89"/>
      <c r="AE298" s="89"/>
      <c r="AF298" s="89"/>
      <c r="AG298" s="89"/>
      <c r="AH298" s="89"/>
      <c r="AI298" s="89"/>
      <c r="AJ298" s="89"/>
      <c r="AK298" s="89"/>
      <c r="AL298" s="89"/>
      <c r="AM298" s="89"/>
      <c r="AN298" s="89"/>
      <c r="AO298" s="89"/>
      <c r="AP298" s="89"/>
      <c r="AQ298" s="89"/>
      <c r="AR298" s="89"/>
      <c r="AS298" s="89"/>
      <c r="AT298" s="89"/>
      <c r="AU298" s="89"/>
      <c r="AV298" s="89"/>
      <c r="AW298" s="89"/>
      <c r="AX298" s="89"/>
      <c r="AY298" s="89"/>
      <c r="AZ298" s="89"/>
      <c r="BA298" s="89"/>
      <c r="BB298" s="89"/>
    </row>
    <row r="299" spans="1:54" ht="21" x14ac:dyDescent="0.35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  <c r="AD299" s="89"/>
      <c r="AE299" s="89"/>
      <c r="AF299" s="89"/>
      <c r="AG299" s="89"/>
      <c r="AH299" s="89"/>
      <c r="AI299" s="89"/>
      <c r="AJ299" s="89"/>
      <c r="AK299" s="89"/>
      <c r="AL299" s="89"/>
      <c r="AM299" s="89"/>
      <c r="AN299" s="89"/>
      <c r="AO299" s="89"/>
      <c r="AP299" s="89"/>
      <c r="AQ299" s="89"/>
      <c r="AR299" s="89"/>
      <c r="AS299" s="89"/>
      <c r="AT299" s="89"/>
      <c r="AU299" s="89"/>
      <c r="AV299" s="89"/>
      <c r="AW299" s="89"/>
      <c r="AX299" s="89"/>
      <c r="AY299" s="89"/>
      <c r="AZ299" s="89"/>
      <c r="BA299" s="89"/>
      <c r="BB299" s="89"/>
    </row>
    <row r="300" spans="1:54" ht="21" x14ac:dyDescent="0.35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  <c r="AD300" s="89"/>
      <c r="AE300" s="89"/>
      <c r="AF300" s="89"/>
      <c r="AG300" s="89"/>
      <c r="AH300" s="89"/>
      <c r="AI300" s="89"/>
      <c r="AJ300" s="89"/>
      <c r="AK300" s="89"/>
      <c r="AL300" s="89"/>
      <c r="AM300" s="89"/>
      <c r="AN300" s="89"/>
      <c r="AO300" s="89"/>
      <c r="AP300" s="89"/>
      <c r="AQ300" s="89"/>
      <c r="AR300" s="89"/>
      <c r="AS300" s="89"/>
      <c r="AT300" s="89"/>
      <c r="AU300" s="89"/>
      <c r="AV300" s="89"/>
      <c r="AW300" s="89"/>
      <c r="AX300" s="89"/>
      <c r="AY300" s="89"/>
      <c r="AZ300" s="89"/>
      <c r="BA300" s="89"/>
      <c r="BB300" s="89"/>
    </row>
    <row r="301" spans="1:54" ht="21" x14ac:dyDescent="0.35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  <c r="AC301" s="89"/>
      <c r="AD301" s="89"/>
      <c r="AE301" s="89"/>
      <c r="AF301" s="89"/>
      <c r="AG301" s="89"/>
      <c r="AH301" s="89"/>
      <c r="AI301" s="89"/>
      <c r="AJ301" s="89"/>
      <c r="AK301" s="89"/>
      <c r="AL301" s="89"/>
      <c r="AM301" s="89"/>
      <c r="AN301" s="89"/>
      <c r="AO301" s="89"/>
      <c r="AP301" s="89"/>
      <c r="AQ301" s="89"/>
      <c r="AR301" s="89"/>
      <c r="AS301" s="89"/>
      <c r="AT301" s="89"/>
      <c r="AU301" s="89"/>
      <c r="AV301" s="89"/>
      <c r="AW301" s="89"/>
      <c r="AX301" s="89"/>
      <c r="AY301" s="89"/>
      <c r="AZ301" s="89"/>
      <c r="BA301" s="89"/>
      <c r="BB301" s="89"/>
    </row>
    <row r="302" spans="1:54" ht="21" x14ac:dyDescent="0.35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  <c r="AD302" s="89"/>
      <c r="AE302" s="89"/>
      <c r="AF302" s="89"/>
      <c r="AG302" s="89"/>
      <c r="AH302" s="89"/>
      <c r="AI302" s="89"/>
      <c r="AJ302" s="89"/>
      <c r="AK302" s="89"/>
      <c r="AL302" s="89"/>
      <c r="AM302" s="89"/>
      <c r="AN302" s="89"/>
      <c r="AO302" s="89"/>
      <c r="AP302" s="89"/>
      <c r="AQ302" s="89"/>
      <c r="AR302" s="89"/>
      <c r="AS302" s="89"/>
      <c r="AT302" s="89"/>
      <c r="AU302" s="89"/>
      <c r="AV302" s="89"/>
      <c r="AW302" s="89"/>
      <c r="AX302" s="89"/>
      <c r="AY302" s="89"/>
      <c r="AZ302" s="89"/>
      <c r="BA302" s="89"/>
      <c r="BB302" s="89"/>
    </row>
    <row r="303" spans="1:54" ht="21" x14ac:dyDescent="0.35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  <c r="AD303" s="89"/>
      <c r="AE303" s="89"/>
      <c r="AF303" s="89"/>
      <c r="AG303" s="89"/>
      <c r="AH303" s="89"/>
      <c r="AI303" s="89"/>
      <c r="AJ303" s="89"/>
      <c r="AK303" s="89"/>
      <c r="AL303" s="89"/>
      <c r="AM303" s="89"/>
      <c r="AN303" s="89"/>
      <c r="AO303" s="89"/>
      <c r="AP303" s="89"/>
      <c r="AQ303" s="89"/>
      <c r="AR303" s="89"/>
      <c r="AS303" s="89"/>
      <c r="AT303" s="89"/>
      <c r="AU303" s="89"/>
      <c r="AV303" s="89"/>
      <c r="AW303" s="89"/>
      <c r="AX303" s="89"/>
      <c r="AY303" s="89"/>
      <c r="AZ303" s="89"/>
      <c r="BA303" s="89"/>
      <c r="BB303" s="89"/>
    </row>
    <row r="304" spans="1:54" ht="21" x14ac:dyDescent="0.35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  <c r="AD304" s="89"/>
      <c r="AE304" s="89"/>
      <c r="AF304" s="89"/>
      <c r="AG304" s="89"/>
      <c r="AH304" s="89"/>
      <c r="AI304" s="89"/>
      <c r="AJ304" s="89"/>
      <c r="AK304" s="89"/>
      <c r="AL304" s="89"/>
      <c r="AM304" s="89"/>
      <c r="AN304" s="89"/>
      <c r="AO304" s="89"/>
      <c r="AP304" s="89"/>
      <c r="AQ304" s="89"/>
      <c r="AR304" s="89"/>
      <c r="AS304" s="89"/>
      <c r="AT304" s="89"/>
      <c r="AU304" s="89"/>
      <c r="AV304" s="89"/>
      <c r="AW304" s="89"/>
      <c r="AX304" s="89"/>
      <c r="AY304" s="89"/>
      <c r="AZ304" s="89"/>
      <c r="BA304" s="89"/>
      <c r="BB304" s="89"/>
    </row>
    <row r="305" spans="1:54" ht="21" x14ac:dyDescent="0.35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  <c r="AD305" s="89"/>
      <c r="AE305" s="89"/>
      <c r="AF305" s="89"/>
      <c r="AG305" s="89"/>
      <c r="AH305" s="89"/>
      <c r="AI305" s="89"/>
      <c r="AJ305" s="89"/>
      <c r="AK305" s="89"/>
      <c r="AL305" s="89"/>
      <c r="AM305" s="89"/>
      <c r="AN305" s="89"/>
      <c r="AO305" s="89"/>
      <c r="AP305" s="89"/>
      <c r="AQ305" s="89"/>
      <c r="AR305" s="89"/>
      <c r="AS305" s="89"/>
      <c r="AT305" s="89"/>
      <c r="AU305" s="89"/>
      <c r="AV305" s="89"/>
      <c r="AW305" s="89"/>
      <c r="AX305" s="89"/>
      <c r="AY305" s="89"/>
      <c r="AZ305" s="89"/>
      <c r="BA305" s="89"/>
      <c r="BB305" s="89"/>
    </row>
    <row r="306" spans="1:54" ht="21" x14ac:dyDescent="0.35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89"/>
      <c r="AE306" s="89"/>
      <c r="AF306" s="89"/>
      <c r="AG306" s="89"/>
      <c r="AH306" s="89"/>
      <c r="AI306" s="89"/>
      <c r="AJ306" s="89"/>
      <c r="AK306" s="89"/>
      <c r="AL306" s="89"/>
      <c r="AM306" s="89"/>
      <c r="AN306" s="89"/>
      <c r="AO306" s="89"/>
      <c r="AP306" s="89"/>
      <c r="AQ306" s="89"/>
      <c r="AR306" s="89"/>
      <c r="AS306" s="89"/>
      <c r="AT306" s="89"/>
      <c r="AU306" s="89"/>
      <c r="AV306" s="89"/>
      <c r="AW306" s="89"/>
      <c r="AX306" s="89"/>
      <c r="AY306" s="89"/>
      <c r="AZ306" s="89"/>
      <c r="BA306" s="89"/>
      <c r="BB306" s="89"/>
    </row>
    <row r="307" spans="1:54" ht="21" x14ac:dyDescent="0.35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  <c r="AD307" s="89"/>
      <c r="AE307" s="89"/>
      <c r="AF307" s="89"/>
      <c r="AG307" s="89"/>
      <c r="AH307" s="89"/>
      <c r="AI307" s="89"/>
      <c r="AJ307" s="89"/>
      <c r="AK307" s="89"/>
      <c r="AL307" s="89"/>
      <c r="AM307" s="89"/>
      <c r="AN307" s="89"/>
      <c r="AO307" s="89"/>
      <c r="AP307" s="89"/>
      <c r="AQ307" s="89"/>
      <c r="AR307" s="89"/>
      <c r="AS307" s="89"/>
      <c r="AT307" s="89"/>
      <c r="AU307" s="89"/>
      <c r="AV307" s="89"/>
      <c r="AW307" s="89"/>
      <c r="AX307" s="89"/>
      <c r="AY307" s="89"/>
      <c r="AZ307" s="89"/>
      <c r="BA307" s="89"/>
      <c r="BB307" s="89"/>
    </row>
    <row r="308" spans="1:54" ht="21" x14ac:dyDescent="0.35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  <c r="AD308" s="89"/>
      <c r="AE308" s="89"/>
      <c r="AF308" s="89"/>
      <c r="AG308" s="89"/>
      <c r="AH308" s="89"/>
      <c r="AI308" s="89"/>
      <c r="AJ308" s="89"/>
      <c r="AK308" s="89"/>
      <c r="AL308" s="89"/>
      <c r="AM308" s="89"/>
      <c r="AN308" s="89"/>
      <c r="AO308" s="89"/>
      <c r="AP308" s="89"/>
      <c r="AQ308" s="89"/>
      <c r="AR308" s="89"/>
      <c r="AS308" s="89"/>
      <c r="AT308" s="89"/>
      <c r="AU308" s="89"/>
      <c r="AV308" s="89"/>
      <c r="AW308" s="89"/>
      <c r="AX308" s="89"/>
      <c r="AY308" s="89"/>
      <c r="AZ308" s="89"/>
      <c r="BA308" s="89"/>
      <c r="BB308" s="89"/>
    </row>
    <row r="309" spans="1:54" ht="21" x14ac:dyDescent="0.35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  <c r="AD309" s="89"/>
      <c r="AE309" s="89"/>
      <c r="AF309" s="89"/>
      <c r="AG309" s="89"/>
      <c r="AH309" s="89"/>
      <c r="AI309" s="89"/>
      <c r="AJ309" s="89"/>
      <c r="AK309" s="89"/>
      <c r="AL309" s="89"/>
      <c r="AM309" s="89"/>
      <c r="AN309" s="89"/>
      <c r="AO309" s="89"/>
      <c r="AP309" s="89"/>
      <c r="AQ309" s="89"/>
      <c r="AR309" s="89"/>
      <c r="AS309" s="89"/>
      <c r="AT309" s="89"/>
      <c r="AU309" s="89"/>
      <c r="AV309" s="89"/>
      <c r="AW309" s="89"/>
      <c r="AX309" s="89"/>
      <c r="AY309" s="89"/>
      <c r="AZ309" s="89"/>
      <c r="BA309" s="89"/>
      <c r="BB309" s="89"/>
    </row>
    <row r="310" spans="1:54" ht="21" x14ac:dyDescent="0.35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  <c r="AD310" s="89"/>
      <c r="AE310" s="89"/>
      <c r="AF310" s="89"/>
      <c r="AG310" s="89"/>
      <c r="AH310" s="89"/>
      <c r="AI310" s="89"/>
      <c r="AJ310" s="89"/>
      <c r="AK310" s="89"/>
      <c r="AL310" s="89"/>
      <c r="AM310" s="89"/>
      <c r="AN310" s="89"/>
      <c r="AO310" s="89"/>
      <c r="AP310" s="89"/>
      <c r="AQ310" s="89"/>
      <c r="AR310" s="89"/>
      <c r="AS310" s="89"/>
      <c r="AT310" s="89"/>
      <c r="AU310" s="89"/>
      <c r="AV310" s="89"/>
      <c r="AW310" s="89"/>
      <c r="AX310" s="89"/>
      <c r="AY310" s="89"/>
      <c r="AZ310" s="89"/>
      <c r="BA310" s="89"/>
      <c r="BB310" s="89"/>
    </row>
    <row r="311" spans="1:54" ht="21" x14ac:dyDescent="0.35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  <c r="AD311" s="89"/>
      <c r="AE311" s="89"/>
      <c r="AF311" s="89"/>
      <c r="AG311" s="89"/>
      <c r="AH311" s="89"/>
      <c r="AI311" s="89"/>
      <c r="AJ311" s="89"/>
      <c r="AK311" s="89"/>
      <c r="AL311" s="89"/>
      <c r="AM311" s="89"/>
      <c r="AN311" s="89"/>
      <c r="AO311" s="89"/>
      <c r="AP311" s="89"/>
      <c r="AQ311" s="89"/>
      <c r="AR311" s="89"/>
      <c r="AS311" s="89"/>
      <c r="AT311" s="89"/>
      <c r="AU311" s="89"/>
      <c r="AV311" s="89"/>
      <c r="AW311" s="89"/>
      <c r="AX311" s="89"/>
      <c r="AY311" s="89"/>
      <c r="AZ311" s="89"/>
      <c r="BA311" s="89"/>
      <c r="BB311" s="89"/>
    </row>
    <row r="312" spans="1:54" ht="21" x14ac:dyDescent="0.35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  <c r="AD312" s="89"/>
      <c r="AE312" s="89"/>
      <c r="AF312" s="89"/>
      <c r="AG312" s="89"/>
      <c r="AH312" s="89"/>
      <c r="AI312" s="89"/>
      <c r="AJ312" s="89"/>
      <c r="AK312" s="89"/>
      <c r="AL312" s="89"/>
      <c r="AM312" s="89"/>
      <c r="AN312" s="89"/>
      <c r="AO312" s="89"/>
      <c r="AP312" s="89"/>
      <c r="AQ312" s="89"/>
      <c r="AR312" s="89"/>
      <c r="AS312" s="89"/>
      <c r="AT312" s="89"/>
      <c r="AU312" s="89"/>
      <c r="AV312" s="89"/>
      <c r="AW312" s="89"/>
      <c r="AX312" s="89"/>
      <c r="AY312" s="89"/>
      <c r="AZ312" s="89"/>
      <c r="BA312" s="89"/>
      <c r="BB312" s="89"/>
    </row>
    <row r="313" spans="1:54" ht="21" x14ac:dyDescent="0.35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  <c r="AC313" s="89"/>
      <c r="AD313" s="89"/>
      <c r="AE313" s="89"/>
      <c r="AF313" s="89"/>
      <c r="AG313" s="89"/>
      <c r="AH313" s="89"/>
      <c r="AI313" s="89"/>
      <c r="AJ313" s="89"/>
      <c r="AK313" s="89"/>
      <c r="AL313" s="89"/>
      <c r="AM313" s="89"/>
      <c r="AN313" s="89"/>
      <c r="AO313" s="89"/>
      <c r="AP313" s="89"/>
      <c r="AQ313" s="89"/>
      <c r="AR313" s="89"/>
      <c r="AS313" s="89"/>
      <c r="AT313" s="89"/>
      <c r="AU313" s="89"/>
      <c r="AV313" s="89"/>
      <c r="AW313" s="89"/>
      <c r="AX313" s="89"/>
      <c r="AY313" s="89"/>
      <c r="AZ313" s="89"/>
      <c r="BA313" s="89"/>
      <c r="BB313" s="89"/>
    </row>
    <row r="314" spans="1:54" ht="21" x14ac:dyDescent="0.35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  <c r="AD314" s="89"/>
      <c r="AE314" s="89"/>
      <c r="AF314" s="89"/>
      <c r="AG314" s="89"/>
      <c r="AH314" s="89"/>
      <c r="AI314" s="89"/>
      <c r="AJ314" s="89"/>
      <c r="AK314" s="89"/>
      <c r="AL314" s="89"/>
      <c r="AM314" s="89"/>
      <c r="AN314" s="89"/>
      <c r="AO314" s="89"/>
      <c r="AP314" s="89"/>
      <c r="AQ314" s="89"/>
      <c r="AR314" s="89"/>
      <c r="AS314" s="89"/>
      <c r="AT314" s="89"/>
      <c r="AU314" s="89"/>
      <c r="AV314" s="89"/>
      <c r="AW314" s="89"/>
      <c r="AX314" s="89"/>
      <c r="AY314" s="89"/>
      <c r="AZ314" s="89"/>
      <c r="BA314" s="89"/>
      <c r="BB314" s="89"/>
    </row>
    <row r="315" spans="1:54" ht="21" x14ac:dyDescent="0.35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  <c r="AD315" s="89"/>
      <c r="AE315" s="89"/>
      <c r="AF315" s="89"/>
      <c r="AG315" s="89"/>
      <c r="AH315" s="89"/>
      <c r="AI315" s="89"/>
      <c r="AJ315" s="89"/>
      <c r="AK315" s="89"/>
      <c r="AL315" s="89"/>
      <c r="AM315" s="89"/>
      <c r="AN315" s="89"/>
      <c r="AO315" s="89"/>
      <c r="AP315" s="89"/>
      <c r="AQ315" s="89"/>
      <c r="AR315" s="89"/>
      <c r="AS315" s="89"/>
      <c r="AT315" s="89"/>
      <c r="AU315" s="89"/>
      <c r="AV315" s="89"/>
      <c r="AW315" s="89"/>
      <c r="AX315" s="89"/>
      <c r="AY315" s="89"/>
      <c r="AZ315" s="89"/>
      <c r="BA315" s="89"/>
      <c r="BB315" s="89"/>
    </row>
    <row r="316" spans="1:54" ht="21" x14ac:dyDescent="0.35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  <c r="AD316" s="89"/>
      <c r="AE316" s="89"/>
      <c r="AF316" s="89"/>
      <c r="AG316" s="89"/>
      <c r="AH316" s="89"/>
      <c r="AI316" s="89"/>
      <c r="AJ316" s="89"/>
      <c r="AK316" s="89"/>
      <c r="AL316" s="89"/>
      <c r="AM316" s="89"/>
      <c r="AN316" s="89"/>
      <c r="AO316" s="89"/>
      <c r="AP316" s="89"/>
      <c r="AQ316" s="89"/>
      <c r="AR316" s="89"/>
      <c r="AS316" s="89"/>
      <c r="AT316" s="89"/>
      <c r="AU316" s="89"/>
      <c r="AV316" s="89"/>
      <c r="AW316" s="89"/>
      <c r="AX316" s="89"/>
      <c r="AY316" s="89"/>
      <c r="AZ316" s="89"/>
      <c r="BA316" s="89"/>
      <c r="BB316" s="89"/>
    </row>
    <row r="317" spans="1:54" ht="21" x14ac:dyDescent="0.35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  <c r="AD317" s="89"/>
      <c r="AE317" s="89"/>
      <c r="AF317" s="89"/>
      <c r="AG317" s="89"/>
      <c r="AH317" s="89"/>
      <c r="AI317" s="89"/>
      <c r="AJ317" s="89"/>
      <c r="AK317" s="89"/>
      <c r="AL317" s="89"/>
      <c r="AM317" s="89"/>
      <c r="AN317" s="89"/>
      <c r="AO317" s="89"/>
      <c r="AP317" s="89"/>
      <c r="AQ317" s="89"/>
      <c r="AR317" s="89"/>
      <c r="AS317" s="89"/>
      <c r="AT317" s="89"/>
      <c r="AU317" s="89"/>
      <c r="AV317" s="89"/>
      <c r="AW317" s="89"/>
      <c r="AX317" s="89"/>
      <c r="AY317" s="89"/>
      <c r="AZ317" s="89"/>
      <c r="BA317" s="89"/>
      <c r="BB317" s="89"/>
    </row>
    <row r="318" spans="1:54" ht="21" x14ac:dyDescent="0.35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  <c r="AD318" s="89"/>
      <c r="AE318" s="89"/>
      <c r="AF318" s="89"/>
      <c r="AG318" s="89"/>
      <c r="AH318" s="89"/>
      <c r="AI318" s="89"/>
      <c r="AJ318" s="89"/>
      <c r="AK318" s="89"/>
      <c r="AL318" s="89"/>
      <c r="AM318" s="89"/>
      <c r="AN318" s="89"/>
      <c r="AO318" s="89"/>
      <c r="AP318" s="89"/>
      <c r="AQ318" s="89"/>
      <c r="AR318" s="89"/>
      <c r="AS318" s="89"/>
      <c r="AT318" s="89"/>
      <c r="AU318" s="89"/>
      <c r="AV318" s="89"/>
      <c r="AW318" s="89"/>
      <c r="AX318" s="89"/>
      <c r="AY318" s="89"/>
      <c r="AZ318" s="89"/>
      <c r="BA318" s="89"/>
      <c r="BB318" s="89"/>
    </row>
    <row r="319" spans="1:54" ht="21" x14ac:dyDescent="0.35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  <c r="AD319" s="89"/>
      <c r="AE319" s="89"/>
      <c r="AF319" s="89"/>
      <c r="AG319" s="89"/>
      <c r="AH319" s="89"/>
      <c r="AI319" s="89"/>
      <c r="AJ319" s="89"/>
      <c r="AK319" s="89"/>
      <c r="AL319" s="89"/>
      <c r="AM319" s="89"/>
      <c r="AN319" s="89"/>
      <c r="AO319" s="89"/>
      <c r="AP319" s="89"/>
      <c r="AQ319" s="89"/>
      <c r="AR319" s="89"/>
      <c r="AS319" s="89"/>
      <c r="AT319" s="89"/>
      <c r="AU319" s="89"/>
      <c r="AV319" s="89"/>
      <c r="AW319" s="89"/>
      <c r="AX319" s="89"/>
      <c r="AY319" s="89"/>
      <c r="AZ319" s="89"/>
      <c r="BA319" s="89"/>
      <c r="BB319" s="89"/>
    </row>
    <row r="320" spans="1:54" ht="21" x14ac:dyDescent="0.35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  <c r="AD320" s="89"/>
      <c r="AE320" s="89"/>
      <c r="AF320" s="89"/>
      <c r="AG320" s="89"/>
      <c r="AH320" s="89"/>
      <c r="AI320" s="89"/>
      <c r="AJ320" s="89"/>
      <c r="AK320" s="89"/>
      <c r="AL320" s="89"/>
      <c r="AM320" s="89"/>
      <c r="AN320" s="89"/>
      <c r="AO320" s="89"/>
      <c r="AP320" s="89"/>
      <c r="AQ320" s="89"/>
      <c r="AR320" s="89"/>
      <c r="AS320" s="89"/>
      <c r="AT320" s="89"/>
      <c r="AU320" s="89"/>
      <c r="AV320" s="89"/>
      <c r="AW320" s="89"/>
      <c r="AX320" s="89"/>
      <c r="AY320" s="89"/>
      <c r="AZ320" s="89"/>
      <c r="BA320" s="89"/>
      <c r="BB320" s="89"/>
    </row>
    <row r="321" spans="1:54" ht="21" x14ac:dyDescent="0.35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  <c r="AD321" s="89"/>
      <c r="AE321" s="89"/>
      <c r="AF321" s="89"/>
      <c r="AG321" s="89"/>
      <c r="AH321" s="89"/>
      <c r="AI321" s="89"/>
      <c r="AJ321" s="89"/>
      <c r="AK321" s="89"/>
      <c r="AL321" s="89"/>
      <c r="AM321" s="89"/>
      <c r="AN321" s="89"/>
      <c r="AO321" s="89"/>
      <c r="AP321" s="89"/>
      <c r="AQ321" s="89"/>
      <c r="AR321" s="89"/>
      <c r="AS321" s="89"/>
      <c r="AT321" s="89"/>
      <c r="AU321" s="89"/>
      <c r="AV321" s="89"/>
      <c r="AW321" s="89"/>
      <c r="AX321" s="89"/>
      <c r="AY321" s="89"/>
      <c r="AZ321" s="89"/>
      <c r="BA321" s="89"/>
      <c r="BB321" s="89"/>
    </row>
    <row r="322" spans="1:54" ht="21" x14ac:dyDescent="0.35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  <c r="AD322" s="89"/>
      <c r="AE322" s="89"/>
      <c r="AF322" s="89"/>
      <c r="AG322" s="89"/>
      <c r="AH322" s="89"/>
      <c r="AI322" s="89"/>
      <c r="AJ322" s="89"/>
      <c r="AK322" s="89"/>
      <c r="AL322" s="89"/>
      <c r="AM322" s="89"/>
      <c r="AN322" s="89"/>
      <c r="AO322" s="89"/>
      <c r="AP322" s="89"/>
      <c r="AQ322" s="89"/>
      <c r="AR322" s="89"/>
      <c r="AS322" s="89"/>
      <c r="AT322" s="89"/>
      <c r="AU322" s="89"/>
      <c r="AV322" s="89"/>
      <c r="AW322" s="89"/>
      <c r="AX322" s="89"/>
      <c r="AY322" s="89"/>
      <c r="AZ322" s="89"/>
      <c r="BA322" s="89"/>
      <c r="BB322" s="89"/>
    </row>
    <row r="323" spans="1:54" ht="21" x14ac:dyDescent="0.35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  <c r="AD323" s="89"/>
      <c r="AE323" s="89"/>
      <c r="AF323" s="89"/>
      <c r="AG323" s="89"/>
      <c r="AH323" s="89"/>
      <c r="AI323" s="89"/>
      <c r="AJ323" s="89"/>
      <c r="AK323" s="89"/>
      <c r="AL323" s="89"/>
      <c r="AM323" s="89"/>
      <c r="AN323" s="89"/>
      <c r="AO323" s="89"/>
      <c r="AP323" s="89"/>
      <c r="AQ323" s="89"/>
      <c r="AR323" s="89"/>
      <c r="AS323" s="89"/>
      <c r="AT323" s="89"/>
      <c r="AU323" s="89"/>
      <c r="AV323" s="89"/>
      <c r="AW323" s="89"/>
      <c r="AX323" s="89"/>
      <c r="AY323" s="89"/>
      <c r="AZ323" s="89"/>
      <c r="BA323" s="89"/>
      <c r="BB323" s="89"/>
    </row>
    <row r="324" spans="1:54" ht="21" x14ac:dyDescent="0.35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  <c r="AD324" s="89"/>
      <c r="AE324" s="89"/>
      <c r="AF324" s="89"/>
      <c r="AG324" s="89"/>
      <c r="AH324" s="89"/>
      <c r="AI324" s="89"/>
      <c r="AJ324" s="89"/>
      <c r="AK324" s="89"/>
      <c r="AL324" s="89"/>
      <c r="AM324" s="89"/>
      <c r="AN324" s="89"/>
      <c r="AO324" s="89"/>
      <c r="AP324" s="89"/>
      <c r="AQ324" s="89"/>
      <c r="AR324" s="89"/>
      <c r="AS324" s="89"/>
      <c r="AT324" s="89"/>
      <c r="AU324" s="89"/>
      <c r="AV324" s="89"/>
      <c r="AW324" s="89"/>
      <c r="AX324" s="89"/>
      <c r="AY324" s="89"/>
      <c r="AZ324" s="89"/>
      <c r="BA324" s="89"/>
      <c r="BB324" s="89"/>
    </row>
    <row r="325" spans="1:54" ht="21" x14ac:dyDescent="0.35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  <c r="AD325" s="89"/>
      <c r="AE325" s="89"/>
      <c r="AF325" s="89"/>
      <c r="AG325" s="89"/>
      <c r="AH325" s="89"/>
      <c r="AI325" s="89"/>
      <c r="AJ325" s="89"/>
      <c r="AK325" s="89"/>
      <c r="AL325" s="89"/>
      <c r="AM325" s="89"/>
      <c r="AN325" s="89"/>
      <c r="AO325" s="89"/>
      <c r="AP325" s="89"/>
      <c r="AQ325" s="89"/>
      <c r="AR325" s="89"/>
      <c r="AS325" s="89"/>
      <c r="AT325" s="89"/>
      <c r="AU325" s="89"/>
      <c r="AV325" s="89"/>
      <c r="AW325" s="89"/>
      <c r="AX325" s="89"/>
      <c r="AY325" s="89"/>
      <c r="AZ325" s="89"/>
      <c r="BA325" s="89"/>
      <c r="BB325" s="89"/>
    </row>
    <row r="326" spans="1:54" ht="21" x14ac:dyDescent="0.35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  <c r="AD326" s="89"/>
      <c r="AE326" s="89"/>
      <c r="AF326" s="89"/>
      <c r="AG326" s="89"/>
      <c r="AH326" s="89"/>
      <c r="AI326" s="89"/>
      <c r="AJ326" s="89"/>
      <c r="AK326" s="89"/>
      <c r="AL326" s="89"/>
      <c r="AM326" s="89"/>
      <c r="AN326" s="89"/>
      <c r="AO326" s="89"/>
      <c r="AP326" s="89"/>
      <c r="AQ326" s="89"/>
      <c r="AR326" s="89"/>
      <c r="AS326" s="89"/>
      <c r="AT326" s="89"/>
      <c r="AU326" s="89"/>
      <c r="AV326" s="89"/>
      <c r="AW326" s="89"/>
      <c r="AX326" s="89"/>
      <c r="AY326" s="89"/>
      <c r="AZ326" s="89"/>
      <c r="BA326" s="89"/>
      <c r="BB326" s="89"/>
    </row>
    <row r="327" spans="1:54" ht="21" x14ac:dyDescent="0.35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  <c r="AD327" s="89"/>
      <c r="AE327" s="89"/>
      <c r="AF327" s="89"/>
      <c r="AG327" s="89"/>
      <c r="AH327" s="89"/>
      <c r="AI327" s="89"/>
      <c r="AJ327" s="89"/>
      <c r="AK327" s="89"/>
      <c r="AL327" s="89"/>
      <c r="AM327" s="89"/>
      <c r="AN327" s="89"/>
      <c r="AO327" s="89"/>
      <c r="AP327" s="89"/>
      <c r="AQ327" s="89"/>
      <c r="AR327" s="89"/>
      <c r="AS327" s="89"/>
      <c r="AT327" s="89"/>
      <c r="AU327" s="89"/>
      <c r="AV327" s="89"/>
      <c r="AW327" s="89"/>
      <c r="AX327" s="89"/>
      <c r="AY327" s="89"/>
      <c r="AZ327" s="89"/>
      <c r="BA327" s="89"/>
      <c r="BB327" s="89"/>
    </row>
    <row r="328" spans="1:54" ht="21" x14ac:dyDescent="0.35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  <c r="AD328" s="89"/>
      <c r="AE328" s="89"/>
      <c r="AF328" s="89"/>
      <c r="AG328" s="89"/>
      <c r="AH328" s="89"/>
      <c r="AI328" s="89"/>
      <c r="AJ328" s="89"/>
      <c r="AK328" s="89"/>
      <c r="AL328" s="89"/>
      <c r="AM328" s="89"/>
      <c r="AN328" s="89"/>
      <c r="AO328" s="89"/>
      <c r="AP328" s="89"/>
      <c r="AQ328" s="89"/>
      <c r="AR328" s="89"/>
      <c r="AS328" s="89"/>
      <c r="AT328" s="89"/>
      <c r="AU328" s="89"/>
      <c r="AV328" s="89"/>
      <c r="AW328" s="89"/>
      <c r="AX328" s="89"/>
      <c r="AY328" s="89"/>
      <c r="AZ328" s="89"/>
      <c r="BA328" s="89"/>
      <c r="BB328" s="89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3FDD-95F4-4D69-A5FC-038988F0048D}">
  <dimension ref="A1:AX4"/>
  <sheetViews>
    <sheetView topLeftCell="V1" workbookViewId="0">
      <selection activeCell="Z1" sqref="Z1:AX2"/>
    </sheetView>
  </sheetViews>
  <sheetFormatPr baseColWidth="10" defaultRowHeight="15" x14ac:dyDescent="0.25"/>
  <cols>
    <col min="1" max="1" width="17" customWidth="1"/>
    <col min="2" max="2" width="14.42578125" customWidth="1"/>
    <col min="3" max="3" width="11.85546875" customWidth="1"/>
  </cols>
  <sheetData>
    <row r="1" spans="1:50" ht="18.75" x14ac:dyDescent="0.3">
      <c r="A1" s="34" t="s">
        <v>14</v>
      </c>
      <c r="B1" s="34" t="s">
        <v>15</v>
      </c>
      <c r="C1" s="34" t="s">
        <v>8</v>
      </c>
      <c r="D1" s="34" t="s">
        <v>9</v>
      </c>
      <c r="E1" s="34" t="s">
        <v>234</v>
      </c>
      <c r="F1" s="34" t="s">
        <v>56</v>
      </c>
      <c r="G1" s="34" t="s">
        <v>57</v>
      </c>
      <c r="H1" s="34" t="s">
        <v>58</v>
      </c>
      <c r="I1" s="34" t="s">
        <v>77</v>
      </c>
      <c r="J1" s="34" t="s">
        <v>204</v>
      </c>
      <c r="K1" s="34" t="s">
        <v>16</v>
      </c>
      <c r="L1" s="34" t="s">
        <v>12</v>
      </c>
      <c r="M1" s="34" t="s">
        <v>44</v>
      </c>
      <c r="N1" s="34" t="s">
        <v>55</v>
      </c>
      <c r="O1" s="35" t="s">
        <v>17</v>
      </c>
      <c r="P1" s="35" t="s">
        <v>80</v>
      </c>
      <c r="Q1" s="35" t="s">
        <v>81</v>
      </c>
      <c r="R1" s="35" t="s">
        <v>82</v>
      </c>
      <c r="S1" s="35" t="s">
        <v>83</v>
      </c>
      <c r="T1" s="35" t="s">
        <v>45</v>
      </c>
      <c r="U1" s="35" t="s">
        <v>43</v>
      </c>
      <c r="V1" s="35" t="s">
        <v>13</v>
      </c>
      <c r="W1" s="35" t="s">
        <v>0</v>
      </c>
      <c r="X1" s="35" t="s">
        <v>11</v>
      </c>
      <c r="Y1" s="35" t="s">
        <v>10</v>
      </c>
      <c r="Z1" s="67" t="s">
        <v>14</v>
      </c>
      <c r="AA1" s="58" t="s">
        <v>15</v>
      </c>
      <c r="AB1" s="59" t="s">
        <v>8</v>
      </c>
      <c r="AC1" s="60" t="s">
        <v>9</v>
      </c>
      <c r="AD1" s="59" t="s">
        <v>234</v>
      </c>
      <c r="AE1" s="59" t="s">
        <v>56</v>
      </c>
      <c r="AF1" s="60" t="s">
        <v>57</v>
      </c>
      <c r="AG1" s="59" t="s">
        <v>58</v>
      </c>
      <c r="AH1" s="61" t="s">
        <v>77</v>
      </c>
      <c r="AI1" s="62" t="s">
        <v>204</v>
      </c>
      <c r="AJ1" s="62" t="s">
        <v>16</v>
      </c>
      <c r="AK1" s="63" t="s">
        <v>13</v>
      </c>
      <c r="AL1" s="63" t="s">
        <v>44</v>
      </c>
      <c r="AM1" s="62" t="s">
        <v>55</v>
      </c>
      <c r="AN1" s="35" t="s">
        <v>17</v>
      </c>
      <c r="AO1" s="35" t="s">
        <v>80</v>
      </c>
      <c r="AP1" s="35" t="s">
        <v>81</v>
      </c>
      <c r="AQ1" s="35" t="s">
        <v>82</v>
      </c>
      <c r="AR1" s="35" t="s">
        <v>83</v>
      </c>
      <c r="AS1" s="35" t="s">
        <v>45</v>
      </c>
      <c r="AT1" s="35" t="s">
        <v>43</v>
      </c>
      <c r="AU1" s="35" t="s">
        <v>12</v>
      </c>
      <c r="AV1" s="35" t="s">
        <v>0</v>
      </c>
      <c r="AW1" s="35" t="s">
        <v>11</v>
      </c>
      <c r="AX1" s="35" t="s">
        <v>10</v>
      </c>
    </row>
    <row r="2" spans="1:50" ht="18.75" x14ac:dyDescent="0.3">
      <c r="A2" s="36">
        <f>100-B2-C2-D2-E2-F2-G2-H2-I2-J2-K2-L2-M2-N2-O2-P2-Q2-R2-S2-T2-U2-V2-W2-X2-Y2</f>
        <v>90.150367278798001</v>
      </c>
      <c r="B2" s="37">
        <f>'1.0330_3'!C4</f>
        <v>1.669449081803005</v>
      </c>
      <c r="C2" s="37">
        <f>'1.0330_3'!D4</f>
        <v>1.335559265442404</v>
      </c>
      <c r="D2" s="37">
        <f>'1.0330_3'!E4</f>
        <v>0</v>
      </c>
      <c r="E2" s="37">
        <f>'1.0330_3'!F4</f>
        <v>0</v>
      </c>
      <c r="F2" s="37">
        <f>'1.0330_3'!G4</f>
        <v>3.672787979966611</v>
      </c>
      <c r="G2" s="37">
        <f>'1.0330_3'!H4</f>
        <v>0</v>
      </c>
      <c r="H2" s="37">
        <f>'1.0330_3'!I4</f>
        <v>0</v>
      </c>
      <c r="I2" s="37">
        <f>'1.0330_3'!J4</f>
        <v>0</v>
      </c>
      <c r="J2" s="37">
        <f>'1.0330_3'!K4</f>
        <v>0</v>
      </c>
      <c r="K2" s="37">
        <f>'1.0330_3'!L4</f>
        <v>1.669449081803005</v>
      </c>
      <c r="L2" s="37">
        <f>'1.0330_3'!M4</f>
        <v>0</v>
      </c>
      <c r="M2" s="37">
        <f>'1.0330_3'!N4</f>
        <v>1.335559265442404</v>
      </c>
      <c r="N2" s="37">
        <f>'1.0330_3'!O4</f>
        <v>0.11118530884808014</v>
      </c>
      <c r="O2" s="37">
        <f>'1.0330_3'!P4</f>
        <v>0</v>
      </c>
      <c r="P2" s="37">
        <f>'1.0330_3'!Q4</f>
        <v>5.5642737896494154E-2</v>
      </c>
      <c r="Q2" s="37">
        <f>'1.0330_3'!R4</f>
        <v>0</v>
      </c>
      <c r="R2" s="37">
        <f>'1.0330_3'!S4</f>
        <v>0</v>
      </c>
      <c r="S2" s="37">
        <f>'1.0330_3'!T4</f>
        <v>0</v>
      </c>
      <c r="T2" s="37">
        <f>'1.0330_3'!U4</f>
        <v>0</v>
      </c>
      <c r="U2" s="37">
        <f>'1.0330_3'!V4</f>
        <v>0</v>
      </c>
      <c r="V2" s="37">
        <f>'1.0330_3'!W4</f>
        <v>0</v>
      </c>
      <c r="W2" s="37">
        <f>'1.0330_3'!X4</f>
        <v>0</v>
      </c>
      <c r="X2" s="37">
        <f>'1.0330_3'!Y4</f>
        <v>0</v>
      </c>
      <c r="Y2" s="37">
        <f>'1.0330_3'!Z4</f>
        <v>0</v>
      </c>
      <c r="Z2" s="68">
        <v>55.84</v>
      </c>
      <c r="AA2" s="7">
        <v>28.0855</v>
      </c>
      <c r="AB2" s="7">
        <v>58.693399999999997</v>
      </c>
      <c r="AC2" s="7">
        <v>63.545999999999999</v>
      </c>
      <c r="AD2" s="7">
        <v>65.38</v>
      </c>
      <c r="AE2" s="7">
        <v>12.01</v>
      </c>
      <c r="AF2" s="7">
        <v>30.973762000000001</v>
      </c>
      <c r="AG2" s="7">
        <v>32.064999999999998</v>
      </c>
      <c r="AH2" s="7">
        <v>14.0067</v>
      </c>
      <c r="AI2" s="7">
        <v>10.81</v>
      </c>
      <c r="AJ2" s="7">
        <v>54.938043999999998</v>
      </c>
      <c r="AK2" s="7">
        <v>24.305</v>
      </c>
      <c r="AL2" s="7">
        <v>51.996099999999998</v>
      </c>
      <c r="AM2" s="7">
        <v>95.95</v>
      </c>
      <c r="AN2">
        <v>47.866999999999997</v>
      </c>
      <c r="AO2">
        <v>50.941499999999998</v>
      </c>
      <c r="AP2">
        <v>92.906369999999995</v>
      </c>
      <c r="AQ2">
        <v>183.84</v>
      </c>
      <c r="AR2">
        <v>180.94788</v>
      </c>
      <c r="AS2">
        <v>91.224000000000004</v>
      </c>
      <c r="AT2">
        <v>58.933194999999998</v>
      </c>
      <c r="AU2">
        <v>26.981539999999999</v>
      </c>
      <c r="AV2" s="7">
        <v>121.76</v>
      </c>
      <c r="AW2" s="7">
        <v>207.2</v>
      </c>
      <c r="AX2" s="7">
        <v>118.71</v>
      </c>
    </row>
    <row r="3" spans="1:50" ht="18.75" x14ac:dyDescent="0.3">
      <c r="A3" s="36">
        <f>100*((((A2)*(Z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93.602714765658831</v>
      </c>
      <c r="B3" s="36">
        <f>100*((((B2)*(AA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0.87182811927901094</v>
      </c>
      <c r="C3" s="36">
        <f>100*((((C2)*(AB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1.4575651218198915</v>
      </c>
      <c r="D3" s="36">
        <f>100*((((D2)*(AC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E3" s="36">
        <f>100*((((E2)*(AD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F3" s="36">
        <f>100*((((F2)*(AE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0.82018986906375269</v>
      </c>
      <c r="G3" s="36">
        <f>100*((((G2)*(AF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H3" s="36">
        <f>100*((((H2)*(AG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I3" s="36">
        <f>100*((((I2)*(AH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J3" s="36">
        <f>100*((((J2)*(AI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K3" s="36">
        <f>100*((((K2)*(AJ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1.7053829049647522</v>
      </c>
      <c r="L3" s="36">
        <f>100*((((L2)*(AK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M3" s="36">
        <f>100*((((M2)*(AL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1.2912474286829396</v>
      </c>
      <c r="N3" s="36">
        <f>100*((((N2)*(AM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0.19836631271599528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W2))+((X2)/(AW2))+((Y2)/(AX2)))))</f>
        <v>0</v>
      </c>
      <c r="P3" s="36">
        <f>100*((((P2)*(AO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5.2705477814812988E-2</v>
      </c>
      <c r="Q3" s="36">
        <f>100*((((Q2)*(AP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R3" s="36">
        <f>100*((((R2)*(AQ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S3" s="36">
        <f>100*((((S2)*(AR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T3" s="36">
        <f>100*((((T2)*(AS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U3" s="36">
        <f>100*((((U2)*(AT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V3" s="36">
        <f>100*((((V2)*(AU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W3" s="7">
        <f>100*((((W2)*(AV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X3" s="7">
        <f>100*((((X2)*(AW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Y3" s="7">
        <f>100*((((Y2)*(AX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Z3" s="68">
        <v>55.84</v>
      </c>
      <c r="AA3" s="7">
        <v>95.94</v>
      </c>
      <c r="AB3" s="7">
        <v>183.85</v>
      </c>
      <c r="AC3" s="7">
        <v>58.933199999999999</v>
      </c>
      <c r="AD3" s="7">
        <v>63.54</v>
      </c>
      <c r="AE3" s="7">
        <v>12.01</v>
      </c>
      <c r="AF3" s="7">
        <v>28.085000000000001</v>
      </c>
      <c r="AG3" s="7">
        <v>47.88</v>
      </c>
      <c r="AH3" s="7">
        <v>58.692999999999998</v>
      </c>
      <c r="AI3" s="7">
        <v>51.99</v>
      </c>
      <c r="AJ3" s="7">
        <v>54.93</v>
      </c>
      <c r="AK3" s="7">
        <v>92.9</v>
      </c>
      <c r="AL3" s="7">
        <v>14.0067</v>
      </c>
      <c r="AM3" s="7">
        <v>26.981539999999999</v>
      </c>
    </row>
    <row r="4" spans="1:50" ht="15.75" x14ac:dyDescent="0.25">
      <c r="A4" s="8"/>
      <c r="B4" s="9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25E31-6EBB-4437-B25E-BDD12D4A0EC3}">
  <dimension ref="A1:AY56"/>
  <sheetViews>
    <sheetView topLeftCell="A4" zoomScale="98" zoomScaleNormal="98" workbookViewId="0">
      <selection activeCell="S23" sqref="S23"/>
    </sheetView>
  </sheetViews>
  <sheetFormatPr baseColWidth="10" defaultRowHeight="15" x14ac:dyDescent="0.25"/>
  <cols>
    <col min="1" max="1" width="21.85546875" customWidth="1"/>
    <col min="2" max="3" width="13.28515625" customWidth="1"/>
    <col min="4" max="4" width="11.42578125" customWidth="1"/>
    <col min="5" max="5" width="12.28515625" customWidth="1"/>
    <col min="6" max="6" width="14.140625" customWidth="1"/>
    <col min="7" max="7" width="8" customWidth="1"/>
    <col min="8" max="8" width="8.7109375" customWidth="1"/>
    <col min="9" max="9" width="9.140625" customWidth="1"/>
    <col min="10" max="10" width="11.140625" customWidth="1"/>
    <col min="11" max="11" width="10.42578125" customWidth="1"/>
    <col min="12" max="12" width="7.140625" customWidth="1"/>
    <col min="13" max="13" width="10" customWidth="1"/>
    <col min="14" max="14" width="11.85546875" customWidth="1"/>
    <col min="15" max="15" width="14.5703125" customWidth="1"/>
  </cols>
  <sheetData>
    <row r="1" spans="1:51" ht="18" x14ac:dyDescent="0.25">
      <c r="A1" s="66" t="s">
        <v>14</v>
      </c>
      <c r="B1" s="66" t="s">
        <v>15</v>
      </c>
      <c r="C1" s="66" t="s">
        <v>8</v>
      </c>
      <c r="D1" s="66" t="s">
        <v>9</v>
      </c>
      <c r="E1" s="66" t="s">
        <v>234</v>
      </c>
      <c r="F1" s="66" t="s">
        <v>56</v>
      </c>
      <c r="G1" s="66" t="s">
        <v>57</v>
      </c>
      <c r="H1" s="66" t="s">
        <v>58</v>
      </c>
      <c r="I1" s="66" t="s">
        <v>77</v>
      </c>
      <c r="J1" s="66" t="s">
        <v>204</v>
      </c>
      <c r="K1" s="66" t="s">
        <v>16</v>
      </c>
      <c r="L1" s="66" t="s">
        <v>12</v>
      </c>
      <c r="M1" s="66" t="s">
        <v>44</v>
      </c>
      <c r="N1" s="66" t="s">
        <v>55</v>
      </c>
      <c r="O1" s="66" t="s">
        <v>17</v>
      </c>
      <c r="P1" s="66" t="s">
        <v>80</v>
      </c>
      <c r="Q1" s="66" t="s">
        <v>81</v>
      </c>
      <c r="R1" s="66" t="s">
        <v>82</v>
      </c>
      <c r="S1" s="66" t="s">
        <v>83</v>
      </c>
      <c r="T1" s="66" t="s">
        <v>45</v>
      </c>
      <c r="U1" s="66" t="s">
        <v>43</v>
      </c>
      <c r="V1" s="66" t="s">
        <v>13</v>
      </c>
      <c r="W1" s="66" t="s">
        <v>0</v>
      </c>
      <c r="X1" s="66" t="s">
        <v>11</v>
      </c>
      <c r="Y1" s="66" t="s">
        <v>10</v>
      </c>
      <c r="Z1" s="210" t="s">
        <v>14</v>
      </c>
      <c r="AA1" s="210" t="s">
        <v>15</v>
      </c>
      <c r="AB1" s="210" t="s">
        <v>8</v>
      </c>
      <c r="AC1" s="210" t="s">
        <v>9</v>
      </c>
      <c r="AD1" s="210" t="s">
        <v>234</v>
      </c>
      <c r="AE1" s="210" t="s">
        <v>56</v>
      </c>
      <c r="AF1" s="210" t="s">
        <v>57</v>
      </c>
      <c r="AG1" s="210" t="s">
        <v>58</v>
      </c>
      <c r="AH1" s="210" t="s">
        <v>77</v>
      </c>
      <c r="AI1" s="210" t="s">
        <v>204</v>
      </c>
      <c r="AJ1" s="210" t="s">
        <v>16</v>
      </c>
      <c r="AK1" s="210" t="s">
        <v>13</v>
      </c>
      <c r="AL1" s="210" t="s">
        <v>44</v>
      </c>
      <c r="AM1" s="210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12</v>
      </c>
      <c r="AV1" s="210" t="s">
        <v>0</v>
      </c>
      <c r="AW1" s="210" t="s">
        <v>11</v>
      </c>
      <c r="AX1" s="210" t="s">
        <v>10</v>
      </c>
      <c r="AY1" s="35"/>
    </row>
    <row r="2" spans="1:51" ht="18.75" x14ac:dyDescent="0.3">
      <c r="A2" s="36">
        <f>100-B2-C2-D2-E2-F2-G2-H2-I2-J2-K2-L2-M2-N2-O2-P2-Q2-R2-S2-T2-U2-V2-W2-X2-Y2</f>
        <v>94.328499999999991</v>
      </c>
      <c r="B2" s="37">
        <f>'OK OK'!C4</f>
        <v>0.89</v>
      </c>
      <c r="C2" s="37">
        <f>'OK OK'!D4</f>
        <v>1.43</v>
      </c>
      <c r="D2" s="37">
        <f>'OK OK'!E4</f>
        <v>0</v>
      </c>
      <c r="E2" s="37">
        <f>'OK OK'!F4</f>
        <v>0</v>
      </c>
      <c r="F2" s="37">
        <f>'OK OK'!G4</f>
        <v>0.2</v>
      </c>
      <c r="G2" s="37">
        <f>'OK OK'!H4</f>
        <v>5.0000000000000001E-3</v>
      </c>
      <c r="H2" s="37">
        <f>'OK OK'!I4</f>
        <v>1E-3</v>
      </c>
      <c r="I2" s="37">
        <f>'OK OK'!J4</f>
        <v>1E-3</v>
      </c>
      <c r="J2" s="37">
        <f>'OK OK'!K4</f>
        <v>1.5E-3</v>
      </c>
      <c r="K2" s="37">
        <f>'OK OK'!L4</f>
        <v>1.6</v>
      </c>
      <c r="L2" s="37">
        <f>'OK OK'!M4</f>
        <v>1E-3</v>
      </c>
      <c r="M2" s="37">
        <f>'OK OK'!N4</f>
        <v>1.3</v>
      </c>
      <c r="N2" s="37">
        <f>'OK OK'!O4</f>
        <v>0.19</v>
      </c>
      <c r="O2" s="37">
        <f>'OK OK'!P4</f>
        <v>0</v>
      </c>
      <c r="P2" s="37">
        <f>'OK OK'!Q4</f>
        <v>5.1999999999999998E-2</v>
      </c>
      <c r="Q2" s="37">
        <f>'OK OK'!R4</f>
        <v>0</v>
      </c>
      <c r="R2" s="37">
        <f>'OK OK'!S4</f>
        <v>0</v>
      </c>
      <c r="S2" s="37">
        <f>'OK OK'!T4</f>
        <v>0</v>
      </c>
      <c r="T2" s="37">
        <f>'OK OK'!U4</f>
        <v>0</v>
      </c>
      <c r="U2" s="37">
        <f>'OK OK'!V4</f>
        <v>0</v>
      </c>
      <c r="V2" s="37">
        <f>'OK OK'!W4</f>
        <v>0</v>
      </c>
      <c r="W2" s="37">
        <f>'OK OK'!X4</f>
        <v>0</v>
      </c>
      <c r="X2" s="37">
        <f>'OK OK'!Y4</f>
        <v>0</v>
      </c>
      <c r="Y2" s="37">
        <f>'OK OK'!Z4</f>
        <v>0</v>
      </c>
      <c r="Z2" s="222">
        <v>55.84</v>
      </c>
      <c r="AA2" s="223">
        <v>28.0855</v>
      </c>
      <c r="AB2" s="223">
        <v>58.693399999999997</v>
      </c>
      <c r="AC2" s="223">
        <v>63.545999999999999</v>
      </c>
      <c r="AD2" s="223">
        <v>65.38</v>
      </c>
      <c r="AE2" s="223">
        <v>12.01</v>
      </c>
      <c r="AF2" s="223">
        <v>30.973762000000001</v>
      </c>
      <c r="AG2" s="223">
        <v>32.064999999999998</v>
      </c>
      <c r="AH2" s="223">
        <v>14.0067</v>
      </c>
      <c r="AI2" s="223">
        <v>10.81</v>
      </c>
      <c r="AJ2" s="223">
        <v>54.938043999999998</v>
      </c>
      <c r="AK2" s="223">
        <v>24.305</v>
      </c>
      <c r="AL2" s="223">
        <v>51.996099999999998</v>
      </c>
      <c r="AM2" s="223">
        <v>95.95</v>
      </c>
      <c r="AN2" s="224">
        <v>47.866999999999997</v>
      </c>
      <c r="AO2" s="224">
        <v>50.941499999999998</v>
      </c>
      <c r="AP2" s="224">
        <v>92.906369999999995</v>
      </c>
      <c r="AQ2" s="224">
        <v>183.84</v>
      </c>
      <c r="AR2" s="224">
        <v>180.94788</v>
      </c>
      <c r="AS2" s="224">
        <v>91.224000000000004</v>
      </c>
      <c r="AT2" s="223">
        <v>58.933194999999998</v>
      </c>
      <c r="AU2" s="224">
        <v>26.981539999999999</v>
      </c>
      <c r="AV2" s="223">
        <v>121.76</v>
      </c>
      <c r="AW2" s="223">
        <v>207.2</v>
      </c>
      <c r="AX2" s="223">
        <v>118.71</v>
      </c>
      <c r="AY2" s="7"/>
    </row>
    <row r="3" spans="1:51" ht="18.75" x14ac:dyDescent="0.3">
      <c r="A3" s="36">
        <f>100*((((A2)/(Z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92.840162287943627</v>
      </c>
      <c r="B3" s="36">
        <f>100*((((B2)/(AA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1.741591189035695</v>
      </c>
      <c r="C3" s="36">
        <f>100*((((C2)/(AB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1.3390140731654472</v>
      </c>
      <c r="D3" s="36">
        <f>100*((((D2)/(AC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E3" s="36">
        <f>100*((((E2)/(AD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F3" s="36">
        <f>100*((((F2)/(AE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0.91521970155323784</v>
      </c>
      <c r="G3" s="36">
        <f>100*((((G2)/(AF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8.8718546811123438E-3</v>
      </c>
      <c r="H3" s="36">
        <f>100*((((H2)/(AG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1.7139854382745025E-3</v>
      </c>
      <c r="I3" s="36">
        <f>100*((((I2)/(AH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3.9237609914021089E-3</v>
      </c>
      <c r="J3" s="36">
        <f>100*((((J2)/(AI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7.6261253115085933E-3</v>
      </c>
      <c r="K3" s="36">
        <f>100*((((K2)/(AJ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1.6006086588236572</v>
      </c>
      <c r="L3" s="36">
        <f>100*((((L2)/(AK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2.2612196288118464E-3</v>
      </c>
      <c r="M3" s="36">
        <f>100*((((M2)/(AL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1.3740766327042508</v>
      </c>
      <c r="N3" s="36">
        <f>100*((((N2)/(AM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0.10882959025400381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P3" s="36">
        <f>100*((((P2)/(AO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5.6100920468972061E-2</v>
      </c>
      <c r="Q3" s="36">
        <f>100*((((Q2)/(AP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R3" s="36">
        <f>100*((((R2)/(AQ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S3" s="36">
        <f>100*((((S2)/(AR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T3" s="36">
        <f>100*((((T2)/(AS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U3" s="36">
        <f>100*((((U2)/(AT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V3" s="36">
        <f>100*((((V2)/(AU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W3" s="7">
        <f>100*((((W2)/(AV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X3" s="7">
        <f>100*((((X2)/(AW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Y3" s="7">
        <f>100*((((Y2)/(AX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51" ht="15.75" x14ac:dyDescent="0.25">
      <c r="A4" s="8" t="s">
        <v>18</v>
      </c>
      <c r="B4" s="9">
        <v>111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</row>
    <row r="5" spans="1:51" ht="15.75" x14ac:dyDescent="0.25">
      <c r="A5" s="8" t="s">
        <v>19</v>
      </c>
      <c r="B5" s="9" t="s">
        <v>79</v>
      </c>
      <c r="C5" s="96">
        <v>79.549248747913168</v>
      </c>
      <c r="D5" s="96">
        <v>79.549248747913168</v>
      </c>
      <c r="E5" s="96">
        <v>79.549248747913168</v>
      </c>
      <c r="F5" s="96">
        <v>79.549248747913168</v>
      </c>
      <c r="G5" s="96">
        <v>79.549248747913168</v>
      </c>
      <c r="H5" s="96">
        <v>79.549248747913168</v>
      </c>
      <c r="I5" s="96">
        <v>79.549248747913168</v>
      </c>
      <c r="J5" s="96">
        <v>79.549248747913168</v>
      </c>
      <c r="K5" s="96">
        <v>79.549248747913168</v>
      </c>
      <c r="L5" s="96">
        <v>79.549248747913168</v>
      </c>
      <c r="M5" s="96">
        <v>79.549248747913168</v>
      </c>
      <c r="N5" s="96">
        <v>79.549248747913168</v>
      </c>
      <c r="O5" s="96">
        <v>79.549248747913168</v>
      </c>
    </row>
    <row r="6" spans="1:51" ht="15.75" x14ac:dyDescent="0.25">
      <c r="A6" s="8" t="s">
        <v>20</v>
      </c>
      <c r="B6" s="9">
        <f>'OK OK'!B13</f>
        <v>1000</v>
      </c>
      <c r="D6" s="8" t="s">
        <v>21</v>
      </c>
      <c r="E6" s="11">
        <f>IF(J33&gt;1,J33,"")</f>
        <v>1020.885978018409</v>
      </c>
      <c r="F6" s="12" t="s">
        <v>22</v>
      </c>
      <c r="G6">
        <f>E6/B6</f>
        <v>1.020885978018409</v>
      </c>
    </row>
    <row r="7" spans="1:51" ht="15.75" x14ac:dyDescent="0.25">
      <c r="A7" s="3"/>
      <c r="B7" t="s">
        <v>50</v>
      </c>
      <c r="C7" t="s">
        <v>51</v>
      </c>
    </row>
    <row r="8" spans="1:51" ht="18.75" x14ac:dyDescent="0.3">
      <c r="A8" s="3"/>
      <c r="B8" s="13" t="s">
        <v>23</v>
      </c>
      <c r="C8" s="13" t="s">
        <v>24</v>
      </c>
      <c r="D8" s="13" t="s">
        <v>25</v>
      </c>
      <c r="E8" s="19" t="s">
        <v>38</v>
      </c>
      <c r="F8" s="13" t="s">
        <v>25</v>
      </c>
      <c r="G8" s="10"/>
      <c r="H8" s="14" t="s">
        <v>26</v>
      </c>
      <c r="I8" s="14" t="s">
        <v>27</v>
      </c>
      <c r="J8" s="14" t="s">
        <v>28</v>
      </c>
      <c r="K8" s="14" t="s">
        <v>29</v>
      </c>
      <c r="Z8" s="57"/>
      <c r="AA8" s="58"/>
      <c r="AB8" s="59"/>
      <c r="AC8" s="60"/>
      <c r="AD8" s="59"/>
      <c r="AE8" s="59"/>
      <c r="AF8" s="60"/>
      <c r="AG8" s="59"/>
      <c r="AH8" s="61"/>
      <c r="AI8" s="62"/>
      <c r="AJ8" s="62"/>
      <c r="AK8" s="63"/>
      <c r="AL8" s="63"/>
      <c r="AM8" s="62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</row>
    <row r="9" spans="1:51" ht="18.75" x14ac:dyDescent="0.3">
      <c r="A9" s="66" t="s">
        <v>14</v>
      </c>
      <c r="B9" s="15">
        <f>TEOR.EQ_A_G_1!A3</f>
        <v>93.602714765658831</v>
      </c>
      <c r="C9" s="15">
        <f>TIG.EQ_At_G_1!A3</f>
        <v>94.332432355284283</v>
      </c>
      <c r="D9" s="134">
        <f>IF(K9&gt;0,K9,"")</f>
        <v>12.252666534334935</v>
      </c>
      <c r="E9" s="13" t="s">
        <v>56</v>
      </c>
      <c r="F9" s="20">
        <f t="shared" ref="F9:F12" si="0">D9</f>
        <v>12.252666534334935</v>
      </c>
      <c r="G9" s="90"/>
      <c r="H9" s="91">
        <f t="shared" ref="H9:H17" si="1">IF(B9&gt;0,$J$33*B9/100,"")</f>
        <v>955.57699008717782</v>
      </c>
      <c r="I9" s="91">
        <f>IF(C9&gt;0,$B$6*C9/100,"")</f>
        <v>943.32432355284288</v>
      </c>
      <c r="J9" s="91">
        <f>IF(B9&gt;0,I9/B9*100,"")</f>
        <v>1007.795901982676</v>
      </c>
      <c r="K9" s="91">
        <f>IF(H9&gt;H41,(H9-I9),"")</f>
        <v>12.252666534334935</v>
      </c>
      <c r="M9">
        <v>1</v>
      </c>
      <c r="N9" s="66" t="s">
        <v>14</v>
      </c>
      <c r="O9" s="91">
        <f>F9</f>
        <v>12.252666534334935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V9" s="7"/>
      <c r="AW9" s="7"/>
      <c r="AX9" s="7"/>
    </row>
    <row r="10" spans="1:51" ht="18" x14ac:dyDescent="0.25">
      <c r="A10" s="66" t="s">
        <v>15</v>
      </c>
      <c r="B10" s="15">
        <f>TEOR.EQ_A_G_1!B3</f>
        <v>0.87182811927901094</v>
      </c>
      <c r="C10" s="15">
        <f>TIG.EQ_At_G_1!B3</f>
        <v>0.89003710221410315</v>
      </c>
      <c r="D10" s="134" t="str">
        <f>IF(K10&gt;0,K10,"")</f>
        <v/>
      </c>
      <c r="E10" s="13" t="s">
        <v>16</v>
      </c>
      <c r="F10" s="20"/>
      <c r="G10" s="90"/>
      <c r="H10" s="91">
        <f t="shared" si="1"/>
        <v>8.9003710221410319</v>
      </c>
      <c r="I10" s="91">
        <f t="shared" ref="I10:I16" si="2">IF(C10&gt;0,$B$6*C10/100,"")</f>
        <v>8.9003710221410319</v>
      </c>
      <c r="J10" s="91">
        <f>IF(B10&gt;0,I10/B10*100,"")</f>
        <v>1020.885978018409</v>
      </c>
      <c r="K10" s="91">
        <f t="shared" ref="K10:K16" si="3">IF(H10&gt;H42,(H10-I10),"")</f>
        <v>0</v>
      </c>
      <c r="M10">
        <v>2</v>
      </c>
      <c r="N10" s="66" t="s">
        <v>15</v>
      </c>
      <c r="O10" s="91" t="str">
        <f>D10</f>
        <v/>
      </c>
    </row>
    <row r="11" spans="1:51" ht="18" x14ac:dyDescent="0.25">
      <c r="A11" s="66" t="s">
        <v>8</v>
      </c>
      <c r="B11" s="15">
        <f>TEOR.EQ_A_G_1!C3</f>
        <v>1.4575651218198915</v>
      </c>
      <c r="C11" s="15">
        <f>TIG.EQ_At_G_1!C3</f>
        <v>1.4300596136698511</v>
      </c>
      <c r="D11" s="134">
        <f t="shared" ref="D11:D16" si="4">IF(K11&gt;0,K11,"")</f>
        <v>0.57948181244770325</v>
      </c>
      <c r="E11" s="13" t="s">
        <v>13</v>
      </c>
      <c r="F11" s="20">
        <f t="shared" si="0"/>
        <v>0.57948181244770325</v>
      </c>
      <c r="G11" s="90"/>
      <c r="H11" s="91">
        <f t="shared" si="1"/>
        <v>14.880077949146214</v>
      </c>
      <c r="I11" s="91">
        <f t="shared" si="2"/>
        <v>14.300596136698511</v>
      </c>
      <c r="J11" s="91">
        <f>IF(B11&gt;0,I11/B11*100,"")</f>
        <v>981.12913945436787</v>
      </c>
      <c r="K11" s="91">
        <f t="shared" si="3"/>
        <v>0.57948181244770325</v>
      </c>
      <c r="M11">
        <v>3</v>
      </c>
      <c r="N11" s="66" t="s">
        <v>8</v>
      </c>
      <c r="O11" s="91">
        <f t="shared" ref="O11:O13" si="5">D11</f>
        <v>0.57948181244770325</v>
      </c>
    </row>
    <row r="12" spans="1:51" ht="18" x14ac:dyDescent="0.25">
      <c r="A12" s="66" t="s">
        <v>9</v>
      </c>
      <c r="B12" s="15">
        <f>TEOR.EQ_A_G_1!D3</f>
        <v>0</v>
      </c>
      <c r="C12" s="15">
        <f>TIG.EQ_At_G_1!D3</f>
        <v>0</v>
      </c>
      <c r="D12" s="134" t="str">
        <f t="shared" si="4"/>
        <v/>
      </c>
      <c r="E12" s="13" t="s">
        <v>15</v>
      </c>
      <c r="F12" s="20" t="str">
        <f t="shared" si="0"/>
        <v/>
      </c>
      <c r="G12" s="90"/>
      <c r="H12" s="91" t="str">
        <f t="shared" si="1"/>
        <v/>
      </c>
      <c r="I12" s="91" t="str">
        <f>IF(C12&gt;0,$B$6*C12/100,"")</f>
        <v/>
      </c>
      <c r="J12" s="91" t="str">
        <f>IF(B12&gt;0,I12/B12*100,"")</f>
        <v/>
      </c>
      <c r="K12" s="91" t="str">
        <f t="shared" si="3"/>
        <v/>
      </c>
      <c r="M12">
        <v>4</v>
      </c>
      <c r="N12" s="66" t="s">
        <v>9</v>
      </c>
      <c r="O12" s="91" t="str">
        <f t="shared" si="5"/>
        <v/>
      </c>
    </row>
    <row r="13" spans="1:51" ht="18" x14ac:dyDescent="0.25">
      <c r="A13" s="66" t="s">
        <v>234</v>
      </c>
      <c r="B13" s="15">
        <f>TEOR.EQ_A_G_1!E3</f>
        <v>0</v>
      </c>
      <c r="C13" s="15">
        <f>TIG.EQ_At_G_1!E3</f>
        <v>0</v>
      </c>
      <c r="D13" s="134" t="str">
        <f t="shared" si="4"/>
        <v/>
      </c>
      <c r="E13" s="13" t="s">
        <v>17</v>
      </c>
      <c r="F13" s="20" t="e">
        <f>D13*10</f>
        <v>#VALUE!</v>
      </c>
      <c r="G13" s="90"/>
      <c r="H13" s="91" t="str">
        <f t="shared" si="1"/>
        <v/>
      </c>
      <c r="I13" s="91" t="str">
        <f t="shared" si="2"/>
        <v/>
      </c>
      <c r="J13" s="91" t="str">
        <f>IF(B13&gt;0,I13/B13*100,"")</f>
        <v/>
      </c>
      <c r="K13" s="91" t="str">
        <f t="shared" si="3"/>
        <v/>
      </c>
      <c r="M13">
        <v>5</v>
      </c>
      <c r="N13" s="66" t="s">
        <v>234</v>
      </c>
      <c r="O13" s="91" t="str">
        <f t="shared" si="5"/>
        <v/>
      </c>
    </row>
    <row r="14" spans="1:51" ht="18" x14ac:dyDescent="0.25">
      <c r="A14" s="66" t="s">
        <v>56</v>
      </c>
      <c r="B14" s="15">
        <f>TEOR.EQ_A_G_1!F3</f>
        <v>0.82018986906375269</v>
      </c>
      <c r="C14" s="15">
        <f>TIG.EQ_At_G_1!F3</f>
        <v>0.20533994550961771</v>
      </c>
      <c r="D14" s="134">
        <f t="shared" si="4"/>
        <v>6.3198039113032234</v>
      </c>
      <c r="E14" s="13" t="s">
        <v>45</v>
      </c>
      <c r="F14" s="20">
        <f>D14*10</f>
        <v>63.198039113032237</v>
      </c>
      <c r="G14" s="90"/>
      <c r="H14" s="91">
        <f t="shared" si="1"/>
        <v>8.3732033663993999</v>
      </c>
      <c r="I14" s="91">
        <f t="shared" si="2"/>
        <v>2.0533994550961769</v>
      </c>
      <c r="J14" s="91">
        <f>IF(C14&gt;0.14,I14/B14*100,"")</f>
        <v>250.35659821550027</v>
      </c>
      <c r="K14" s="91">
        <f>IF(H14&gt;H46,(H14-I14),"")</f>
        <v>6.3198039113032234</v>
      </c>
      <c r="M14">
        <v>6</v>
      </c>
      <c r="N14" s="66" t="s">
        <v>56</v>
      </c>
      <c r="O14" s="91">
        <f>D14</f>
        <v>6.3198039113032234</v>
      </c>
    </row>
    <row r="15" spans="1:51" ht="18" x14ac:dyDescent="0.25">
      <c r="A15" s="66" t="s">
        <v>57</v>
      </c>
      <c r="B15" s="15">
        <f>TEOR.EQ_A_G_1!G3</f>
        <v>0</v>
      </c>
      <c r="C15" s="15">
        <f>TIG.EQ_At_G_1!G3</f>
        <v>0</v>
      </c>
      <c r="D15" s="134" t="str">
        <f>IF(K15&gt;0,K15,"")</f>
        <v/>
      </c>
      <c r="E15" s="13" t="s">
        <v>14</v>
      </c>
      <c r="F15" s="20" t="e">
        <f>(F13-D13)+(F10-D10)+(F14-D14)</f>
        <v>#VALUE!</v>
      </c>
      <c r="G15" s="90"/>
      <c r="H15" s="91" t="str">
        <f t="shared" si="1"/>
        <v/>
      </c>
      <c r="I15" s="91" t="str">
        <f>IF(C15&gt;0,$B$6*C15/100,"")</f>
        <v/>
      </c>
      <c r="J15" s="91" t="str">
        <f>IF(B15&gt;0,I15/B15*100,"")</f>
        <v/>
      </c>
      <c r="K15" s="91" t="str">
        <f t="shared" si="3"/>
        <v/>
      </c>
      <c r="M15">
        <v>7</v>
      </c>
      <c r="N15" s="66" t="s">
        <v>57</v>
      </c>
      <c r="O15" s="91" t="str">
        <f t="shared" ref="O15:O18" si="6">D15</f>
        <v/>
      </c>
    </row>
    <row r="16" spans="1:51" ht="18" x14ac:dyDescent="0.25">
      <c r="A16" s="66" t="s">
        <v>58</v>
      </c>
      <c r="B16" s="15">
        <f>TEOR.EQ_A_G_1!H3</f>
        <v>0</v>
      </c>
      <c r="C16" s="15">
        <f>TIG.EQ_At_G_1!H3</f>
        <v>0</v>
      </c>
      <c r="D16" s="134" t="str">
        <f t="shared" si="4"/>
        <v/>
      </c>
      <c r="E16" s="13"/>
      <c r="F16" s="21" t="e">
        <f>D16*10</f>
        <v>#VALUE!</v>
      </c>
      <c r="G16" s="90"/>
      <c r="H16" s="91" t="str">
        <f t="shared" si="1"/>
        <v/>
      </c>
      <c r="I16" s="91" t="str">
        <f t="shared" si="2"/>
        <v/>
      </c>
      <c r="J16" s="91" t="str">
        <f>IF(B16&gt;0,I16/B16*100,"")</f>
        <v/>
      </c>
      <c r="K16" s="91" t="str">
        <f t="shared" si="3"/>
        <v/>
      </c>
      <c r="M16">
        <v>8</v>
      </c>
      <c r="N16" s="66" t="s">
        <v>58</v>
      </c>
      <c r="O16" s="91" t="str">
        <f t="shared" si="6"/>
        <v/>
      </c>
    </row>
    <row r="17" spans="1:15" ht="18" x14ac:dyDescent="0.25">
      <c r="A17" s="66" t="s">
        <v>77</v>
      </c>
      <c r="B17" s="15">
        <f>TEOR.EQ_A_G_1!I3</f>
        <v>0</v>
      </c>
      <c r="C17" s="15">
        <f>TIG.EQ_At_G_1!I3</f>
        <v>0</v>
      </c>
      <c r="D17" s="134" t="str">
        <f t="shared" ref="D17:D32" si="7">IF(K17&gt;0,K17,"")</f>
        <v/>
      </c>
      <c r="E17" s="13"/>
      <c r="F17" s="17" t="str">
        <f>D17</f>
        <v/>
      </c>
      <c r="G17" s="90"/>
      <c r="H17" s="91" t="str">
        <f t="shared" si="1"/>
        <v/>
      </c>
      <c r="I17" s="91" t="str">
        <f>IF(C17&gt;0,$B$6*C17/100,"")</f>
        <v/>
      </c>
      <c r="J17" s="91" t="str">
        <f>IF(B17&gt;0,I17/B17*100,"")</f>
        <v/>
      </c>
      <c r="K17" s="91" t="str">
        <f t="shared" ref="K17:K30" si="8">IF(H17&gt;H49,(H17-I17),"")</f>
        <v/>
      </c>
      <c r="M17">
        <v>9</v>
      </c>
      <c r="N17" s="66" t="s">
        <v>77</v>
      </c>
      <c r="O17" s="91" t="str">
        <f t="shared" si="6"/>
        <v/>
      </c>
    </row>
    <row r="18" spans="1:15" ht="18" x14ac:dyDescent="0.25">
      <c r="A18" s="66" t="s">
        <v>204</v>
      </c>
      <c r="B18" s="15">
        <f>TEOR.EQ_A_G_1!J3</f>
        <v>0</v>
      </c>
      <c r="C18" s="15">
        <f>TIG.EQ_At_G_1!J3</f>
        <v>0</v>
      </c>
      <c r="D18" s="135" t="str">
        <f t="shared" si="7"/>
        <v/>
      </c>
      <c r="H18" s="91" t="str">
        <f t="shared" ref="H18:H32" si="9">IF(B18&gt;0,$J$33*B18/100,"")</f>
        <v/>
      </c>
      <c r="I18" s="91" t="str">
        <f t="shared" ref="I18:I32" si="10">IF(C18&gt;0,$B$6*C18/100,"")</f>
        <v/>
      </c>
      <c r="J18" s="91" t="str">
        <f t="shared" ref="J18:J32" si="11">IF(B18&gt;0,I18/B18*100,"")</f>
        <v/>
      </c>
      <c r="K18" s="91" t="str">
        <f>IF(H18&gt;H50,(H18-I18),"")</f>
        <v/>
      </c>
      <c r="M18">
        <v>10</v>
      </c>
      <c r="N18" s="66" t="s">
        <v>204</v>
      </c>
      <c r="O18" s="91" t="str">
        <f t="shared" si="6"/>
        <v/>
      </c>
    </row>
    <row r="19" spans="1:15" ht="18" x14ac:dyDescent="0.25">
      <c r="A19" s="66" t="s">
        <v>16</v>
      </c>
      <c r="B19" s="15">
        <f>TEOR.EQ_A_G_1!K3</f>
        <v>1.7053829049647522</v>
      </c>
      <c r="C19" s="15">
        <f>TIG.EQ_At_G_1!K3</f>
        <v>1.6000667006096232</v>
      </c>
      <c r="D19">
        <f t="shared" si="7"/>
        <v>1.4093479422119302</v>
      </c>
      <c r="H19" s="91">
        <f t="shared" si="9"/>
        <v>17.410014948308163</v>
      </c>
      <c r="I19" s="91">
        <f t="shared" si="10"/>
        <v>16.000667006096233</v>
      </c>
      <c r="J19" s="91">
        <f t="shared" si="11"/>
        <v>938.2448340202485</v>
      </c>
      <c r="K19" s="91">
        <f t="shared" si="8"/>
        <v>1.4093479422119302</v>
      </c>
      <c r="M19">
        <v>11</v>
      </c>
      <c r="N19" s="66" t="s">
        <v>16</v>
      </c>
      <c r="O19">
        <f>D19</f>
        <v>1.4093479422119302</v>
      </c>
    </row>
    <row r="20" spans="1:15" ht="18" x14ac:dyDescent="0.25">
      <c r="A20" s="66" t="s">
        <v>12</v>
      </c>
      <c r="B20" s="15">
        <f>TEOR.EQ_A_G_1!L3</f>
        <v>0</v>
      </c>
      <c r="C20" s="15">
        <f>TIG.EQ_At_G_1!L3</f>
        <v>0</v>
      </c>
      <c r="D20" t="str">
        <f t="shared" si="7"/>
        <v/>
      </c>
      <c r="H20" s="91" t="str">
        <f t="shared" si="9"/>
        <v/>
      </c>
      <c r="I20" s="91" t="str">
        <f t="shared" si="10"/>
        <v/>
      </c>
      <c r="J20" s="91" t="str">
        <f t="shared" si="11"/>
        <v/>
      </c>
      <c r="K20" s="91" t="str">
        <f>IF(H20&gt;H52,(H20-I20),"")</f>
        <v/>
      </c>
      <c r="M20">
        <v>12</v>
      </c>
      <c r="N20" s="66" t="s">
        <v>12</v>
      </c>
      <c r="O20" t="str">
        <f>D20</f>
        <v/>
      </c>
    </row>
    <row r="21" spans="1:15" ht="18" x14ac:dyDescent="0.25">
      <c r="A21" s="66" t="s">
        <v>44</v>
      </c>
      <c r="B21" s="15">
        <f>TEOR.EQ_A_G_1!M3</f>
        <v>1.2912474286829396</v>
      </c>
      <c r="C21" s="15">
        <f>TIG.EQ_At_G_1!M3</f>
        <v>1.3000541942453192</v>
      </c>
      <c r="D21">
        <f t="shared" si="7"/>
        <v>0.18162199849419558</v>
      </c>
      <c r="H21" s="91">
        <f>IF(B21&gt;0,$J$33*B21/100,"")</f>
        <v>13.182163940947387</v>
      </c>
      <c r="I21" s="91">
        <f t="shared" si="10"/>
        <v>13.000541942453191</v>
      </c>
      <c r="J21" s="91">
        <f t="shared" si="11"/>
        <v>1006.8203547722549</v>
      </c>
      <c r="K21" s="91">
        <f>IF(H21&gt;H53,(H21-I21),"")</f>
        <v>0.18162199849419558</v>
      </c>
      <c r="M21">
        <v>13</v>
      </c>
      <c r="N21" s="66" t="s">
        <v>44</v>
      </c>
      <c r="O21" s="91">
        <f>D21</f>
        <v>0.18162199849419558</v>
      </c>
    </row>
    <row r="22" spans="1:15" ht="18" x14ac:dyDescent="0.25">
      <c r="A22" s="66" t="s">
        <v>55</v>
      </c>
      <c r="B22" s="15">
        <f>TEOR.EQ_A_G_1!N3</f>
        <v>0.19836631271599528</v>
      </c>
      <c r="C22" s="15">
        <f>TIG.EQ_At_G_1!N3</f>
        <v>0.19000792069739278</v>
      </c>
      <c r="D22">
        <f>IF(K22&gt;0,K22,"")</f>
        <v>0.12501466465581612</v>
      </c>
      <c r="H22" s="91">
        <f t="shared" si="9"/>
        <v>2.025093871629744</v>
      </c>
      <c r="I22" s="91">
        <f t="shared" si="10"/>
        <v>1.9000792069739278</v>
      </c>
      <c r="J22" s="91">
        <f t="shared" si="11"/>
        <v>957.86385347309772</v>
      </c>
      <c r="K22" s="91">
        <f>IF(H22&gt;H64,(H22-I22),"")</f>
        <v>0.12501466465581612</v>
      </c>
      <c r="M22">
        <v>14</v>
      </c>
      <c r="N22" s="66" t="s">
        <v>55</v>
      </c>
      <c r="O22" s="293">
        <f>D22</f>
        <v>0.12501466465581612</v>
      </c>
    </row>
    <row r="23" spans="1:15" ht="18" x14ac:dyDescent="0.25">
      <c r="A23" s="66" t="s">
        <v>17</v>
      </c>
      <c r="B23" s="15">
        <f>TEOR.EQ_A_G_1!O3</f>
        <v>0</v>
      </c>
      <c r="C23" s="15">
        <f>TIG.EQ_At_G_1!O3</f>
        <v>0</v>
      </c>
      <c r="D23" t="str">
        <f t="shared" si="7"/>
        <v/>
      </c>
      <c r="H23" s="91" t="str">
        <f t="shared" si="9"/>
        <v/>
      </c>
      <c r="I23" s="91" t="str">
        <f t="shared" si="10"/>
        <v/>
      </c>
      <c r="J23" s="91" t="str">
        <f t="shared" si="11"/>
        <v/>
      </c>
      <c r="K23" s="91" t="str">
        <f>IF(H23&gt;H65,(H23-I23),"")</f>
        <v/>
      </c>
      <c r="M23">
        <v>15</v>
      </c>
      <c r="N23" s="66" t="s">
        <v>17</v>
      </c>
    </row>
    <row r="24" spans="1:15" ht="18" x14ac:dyDescent="0.25">
      <c r="A24" s="66" t="s">
        <v>80</v>
      </c>
      <c r="B24" s="15">
        <f>TEOR.EQ_A_G_1!P3</f>
        <v>5.2705477814812988E-2</v>
      </c>
      <c r="C24" s="15">
        <f>TIG.EQ_At_G_1!P3</f>
        <v>5.2002167769812764E-2</v>
      </c>
      <c r="D24">
        <f>IF(K24&gt;0,K24,"")</f>
        <v>1.8041154960901418E-2</v>
      </c>
      <c r="E24" t="s">
        <v>90</v>
      </c>
      <c r="F24" s="3"/>
      <c r="G24" s="3"/>
      <c r="H24" s="91">
        <f t="shared" si="9"/>
        <v>0.5380628326590291</v>
      </c>
      <c r="I24" s="91">
        <f t="shared" si="10"/>
        <v>0.52002167769812768</v>
      </c>
      <c r="J24" s="91">
        <f t="shared" si="11"/>
        <v>986.65584538534347</v>
      </c>
      <c r="K24" s="91">
        <f>IF(H24&gt;H66,(H24-I24),"")</f>
        <v>1.8041154960901418E-2</v>
      </c>
      <c r="L24" s="3"/>
      <c r="M24">
        <v>16</v>
      </c>
      <c r="N24" s="66" t="s">
        <v>80</v>
      </c>
    </row>
    <row r="25" spans="1:15" ht="18" x14ac:dyDescent="0.25">
      <c r="A25" s="66" t="s">
        <v>81</v>
      </c>
      <c r="B25" s="15">
        <f>TEOR.EQ_A_G_1!Q3</f>
        <v>0</v>
      </c>
      <c r="C25" s="15">
        <f>TIG.EQ_At_G_1!Q3</f>
        <v>0</v>
      </c>
      <c r="D25" t="str">
        <f t="shared" si="7"/>
        <v/>
      </c>
      <c r="F25" s="69"/>
      <c r="G25" s="69"/>
      <c r="H25" s="91" t="str">
        <f t="shared" si="9"/>
        <v/>
      </c>
      <c r="I25" s="91" t="str">
        <f t="shared" si="10"/>
        <v/>
      </c>
      <c r="J25" s="91" t="str">
        <f t="shared" si="11"/>
        <v/>
      </c>
      <c r="K25" s="91" t="str">
        <f>IF(H25&gt;H57,(H25-I25),"")</f>
        <v/>
      </c>
      <c r="L25" s="69"/>
      <c r="M25">
        <v>17</v>
      </c>
      <c r="N25" s="66" t="s">
        <v>81</v>
      </c>
    </row>
    <row r="26" spans="1:15" ht="18" x14ac:dyDescent="0.25">
      <c r="A26" s="66" t="s">
        <v>82</v>
      </c>
      <c r="B26" s="15">
        <f>TEOR.EQ_A_G_1!R3</f>
        <v>0</v>
      </c>
      <c r="C26" s="15">
        <f>TIG.EQ_At_G_1!R3</f>
        <v>0</v>
      </c>
      <c r="D26" t="str">
        <f t="shared" si="7"/>
        <v/>
      </c>
      <c r="E26" t="s">
        <v>91</v>
      </c>
      <c r="F26" s="4"/>
      <c r="G26" s="4"/>
      <c r="H26" s="91" t="str">
        <f t="shared" si="9"/>
        <v/>
      </c>
      <c r="I26" s="91" t="str">
        <f t="shared" si="10"/>
        <v/>
      </c>
      <c r="J26" s="91" t="str">
        <f t="shared" si="11"/>
        <v/>
      </c>
      <c r="K26" s="91" t="str">
        <f>IF(H26&gt;H58,(H26-I26),"")</f>
        <v/>
      </c>
      <c r="L26" s="4"/>
      <c r="M26">
        <v>18</v>
      </c>
      <c r="N26" s="66" t="s">
        <v>82</v>
      </c>
    </row>
    <row r="27" spans="1:15" ht="18" x14ac:dyDescent="0.25">
      <c r="A27" s="66" t="s">
        <v>83</v>
      </c>
      <c r="B27" s="15">
        <f>TEOR.EQ_A_G_1!S3</f>
        <v>0</v>
      </c>
      <c r="C27" s="15">
        <f>TIG.EQ_At_G_1!S3</f>
        <v>0</v>
      </c>
      <c r="D27" t="str">
        <f t="shared" si="7"/>
        <v/>
      </c>
      <c r="H27" s="91" t="str">
        <f t="shared" si="9"/>
        <v/>
      </c>
      <c r="I27" s="91" t="str">
        <f t="shared" si="10"/>
        <v/>
      </c>
      <c r="J27" s="91" t="str">
        <f t="shared" si="11"/>
        <v/>
      </c>
      <c r="K27" s="91" t="str">
        <f t="shared" si="8"/>
        <v/>
      </c>
      <c r="M27">
        <v>19</v>
      </c>
      <c r="N27" s="66" t="s">
        <v>83</v>
      </c>
    </row>
    <row r="28" spans="1:15" ht="18" x14ac:dyDescent="0.25">
      <c r="A28" s="66" t="s">
        <v>45</v>
      </c>
      <c r="B28" s="15">
        <f>TEOR.EQ_A_G_1!T3</f>
        <v>0</v>
      </c>
      <c r="C28" s="15">
        <f>TIG.EQ_At_G_1!T3</f>
        <v>0</v>
      </c>
      <c r="D28" t="str">
        <f t="shared" si="7"/>
        <v/>
      </c>
      <c r="H28" s="91" t="str">
        <f t="shared" si="9"/>
        <v/>
      </c>
      <c r="I28" s="91" t="str">
        <f t="shared" si="10"/>
        <v/>
      </c>
      <c r="J28" s="91" t="str">
        <f t="shared" si="11"/>
        <v/>
      </c>
      <c r="K28" s="91" t="str">
        <f t="shared" si="8"/>
        <v/>
      </c>
      <c r="M28">
        <v>20</v>
      </c>
      <c r="N28" s="66" t="s">
        <v>45</v>
      </c>
    </row>
    <row r="29" spans="1:15" ht="18" x14ac:dyDescent="0.25">
      <c r="A29" s="66" t="s">
        <v>43</v>
      </c>
      <c r="B29" s="15">
        <f>TEOR.EQ_A_G_1!U3</f>
        <v>0</v>
      </c>
      <c r="C29" s="15">
        <f>TIG.EQ_At_G_1!U3</f>
        <v>0</v>
      </c>
      <c r="D29" t="str">
        <f t="shared" si="7"/>
        <v/>
      </c>
      <c r="H29" s="91" t="str">
        <f t="shared" si="9"/>
        <v/>
      </c>
      <c r="I29" s="91" t="str">
        <f t="shared" si="10"/>
        <v/>
      </c>
      <c r="J29" s="91" t="str">
        <f t="shared" si="11"/>
        <v/>
      </c>
      <c r="K29" s="91" t="str">
        <f t="shared" si="8"/>
        <v/>
      </c>
      <c r="M29">
        <v>21</v>
      </c>
      <c r="N29" s="66" t="s">
        <v>43</v>
      </c>
    </row>
    <row r="30" spans="1:15" ht="18" x14ac:dyDescent="0.25">
      <c r="A30" s="66" t="s">
        <v>13</v>
      </c>
      <c r="B30" s="15">
        <f>TEOR.EQ_A_G_1!V3</f>
        <v>0</v>
      </c>
      <c r="C30" s="15">
        <f>TIG.EQ_At_G_1!V3</f>
        <v>0</v>
      </c>
      <c r="D30" t="str">
        <f t="shared" si="7"/>
        <v/>
      </c>
      <c r="H30" s="91" t="str">
        <f t="shared" si="9"/>
        <v/>
      </c>
      <c r="I30" s="91" t="str">
        <f t="shared" si="10"/>
        <v/>
      </c>
      <c r="J30" s="91" t="str">
        <f t="shared" si="11"/>
        <v/>
      </c>
      <c r="K30" s="91" t="str">
        <f t="shared" si="8"/>
        <v/>
      </c>
      <c r="M30">
        <v>22</v>
      </c>
      <c r="N30" s="66" t="s">
        <v>13</v>
      </c>
    </row>
    <row r="31" spans="1:15" ht="18" x14ac:dyDescent="0.25">
      <c r="A31" s="66" t="s">
        <v>0</v>
      </c>
      <c r="B31" s="15">
        <f>TEOR.EQ_A_G_1!W3</f>
        <v>0</v>
      </c>
      <c r="C31" s="15">
        <f>TIG.EQ_At_G_1!W3</f>
        <v>0</v>
      </c>
      <c r="D31" t="str">
        <f t="shared" si="7"/>
        <v/>
      </c>
      <c r="H31" s="91" t="str">
        <f t="shared" si="9"/>
        <v/>
      </c>
      <c r="I31" s="91" t="str">
        <f t="shared" si="10"/>
        <v/>
      </c>
      <c r="J31" s="91" t="str">
        <f t="shared" si="11"/>
        <v/>
      </c>
      <c r="K31" s="91" t="str">
        <f>IF(H31&gt;H63,(H31-I31),"")</f>
        <v/>
      </c>
      <c r="M31">
        <v>23</v>
      </c>
      <c r="N31" s="66" t="s">
        <v>0</v>
      </c>
    </row>
    <row r="32" spans="1:15" ht="18" x14ac:dyDescent="0.25">
      <c r="A32" s="66" t="s">
        <v>11</v>
      </c>
      <c r="B32" s="15">
        <f>TEOR.EQ_A_G_1!X3</f>
        <v>0</v>
      </c>
      <c r="C32" s="15">
        <f>TIG.EQ_At_G_1!X3</f>
        <v>0</v>
      </c>
      <c r="D32" t="str">
        <f t="shared" si="7"/>
        <v/>
      </c>
      <c r="H32" s="91" t="str">
        <f t="shared" si="9"/>
        <v/>
      </c>
      <c r="I32" s="91" t="str">
        <f t="shared" si="10"/>
        <v/>
      </c>
      <c r="J32" s="91" t="str">
        <f t="shared" si="11"/>
        <v/>
      </c>
      <c r="K32" s="91" t="str">
        <f>IF(H32&gt;H64,(H32-I32),"")</f>
        <v/>
      </c>
      <c r="M32">
        <v>24</v>
      </c>
      <c r="N32" s="66" t="s">
        <v>11</v>
      </c>
    </row>
    <row r="33" spans="1:26" ht="18" x14ac:dyDescent="0.25">
      <c r="A33" s="66" t="s">
        <v>10</v>
      </c>
      <c r="B33" s="15">
        <f>TEOR.EQ_A_G_1!Y3</f>
        <v>0</v>
      </c>
      <c r="C33" s="15">
        <f>TIG.EQ_At_G_1!Y3</f>
        <v>0</v>
      </c>
      <c r="D33">
        <f>IF(K34&gt;0,K34,"")</f>
        <v>20.885978018408704</v>
      </c>
      <c r="E33" s="17" t="e">
        <f>D15-F33</f>
        <v>#VALUE!</v>
      </c>
      <c r="F33" s="17" t="e">
        <f>(F14-D14)+(F13-D13)</f>
        <v>#VALUE!</v>
      </c>
      <c r="G33" s="90" t="s">
        <v>30</v>
      </c>
      <c r="H33" s="91">
        <f>SUM(H9:H32)</f>
        <v>1020.8859780184088</v>
      </c>
      <c r="I33" s="91">
        <f>SUM(I9:I32)</f>
        <v>1000</v>
      </c>
      <c r="J33" s="91">
        <f>MAX(J9:J32)</f>
        <v>1020.885978018409</v>
      </c>
      <c r="K33" s="91">
        <f>IF(H33&gt;H65,(H33-I33),"")</f>
        <v>20.885978018408764</v>
      </c>
      <c r="M33">
        <v>25</v>
      </c>
      <c r="N33" s="66" t="s">
        <v>10</v>
      </c>
    </row>
    <row r="34" spans="1:26" x14ac:dyDescent="0.25">
      <c r="B34" s="14">
        <f>SUM(B9:B33)</f>
        <v>99.999999999999986</v>
      </c>
      <c r="C34" s="14">
        <f>SUM(C9:C32)</f>
        <v>100.00000000000001</v>
      </c>
      <c r="D34" s="18">
        <f>SUM(D10:D33)</f>
        <v>29.519289502482472</v>
      </c>
      <c r="G34" s="337" t="s">
        <v>31</v>
      </c>
      <c r="H34" s="338"/>
      <c r="I34" s="91"/>
      <c r="J34" s="91">
        <f>IF(B6&gt;0,B6+D33,"")</f>
        <v>1020.8859780184087</v>
      </c>
      <c r="K34" s="91">
        <f>SUM(K9:K32)</f>
        <v>20.885978018408704</v>
      </c>
    </row>
    <row r="35" spans="1:26" ht="18" x14ac:dyDescent="0.25">
      <c r="A35">
        <f>'OK OK'!A3</f>
        <v>0</v>
      </c>
      <c r="B35" s="210" t="s">
        <v>14</v>
      </c>
      <c r="C35" s="210" t="s">
        <v>15</v>
      </c>
      <c r="D35" s="210" t="s">
        <v>8</v>
      </c>
      <c r="E35" s="210" t="s">
        <v>9</v>
      </c>
      <c r="F35" s="210" t="s">
        <v>234</v>
      </c>
      <c r="G35" s="210" t="s">
        <v>56</v>
      </c>
      <c r="H35" s="210" t="s">
        <v>57</v>
      </c>
      <c r="I35" s="210" t="s">
        <v>58</v>
      </c>
      <c r="J35" s="210" t="s">
        <v>77</v>
      </c>
      <c r="K35" s="210" t="s">
        <v>204</v>
      </c>
      <c r="L35" s="210" t="s">
        <v>16</v>
      </c>
      <c r="M35" s="210" t="s">
        <v>12</v>
      </c>
      <c r="N35" s="210" t="s">
        <v>44</v>
      </c>
      <c r="O35" s="210" t="s">
        <v>55</v>
      </c>
      <c r="P35" s="210" t="s">
        <v>17</v>
      </c>
      <c r="Q35" s="210" t="s">
        <v>80</v>
      </c>
      <c r="R35" s="210" t="s">
        <v>81</v>
      </c>
      <c r="S35" s="210" t="s">
        <v>82</v>
      </c>
      <c r="T35" s="210" t="s">
        <v>83</v>
      </c>
      <c r="U35" s="210" t="s">
        <v>45</v>
      </c>
      <c r="V35" s="210" t="s">
        <v>43</v>
      </c>
      <c r="W35" s="210" t="s">
        <v>13</v>
      </c>
      <c r="X35" s="210" t="s">
        <v>0</v>
      </c>
      <c r="Y35" s="210" t="s">
        <v>11</v>
      </c>
      <c r="Z35" s="210" t="s">
        <v>10</v>
      </c>
    </row>
    <row r="36" spans="1:26" x14ac:dyDescent="0.25">
      <c r="A36" s="124" t="str">
        <f>'OK OK'!A4</f>
        <v>Composition in the crucible</v>
      </c>
      <c r="B36">
        <f>'OK OK'!B4</f>
        <v>94.328499999999991</v>
      </c>
      <c r="C36">
        <f>'OK OK'!C4</f>
        <v>0.89</v>
      </c>
      <c r="D36">
        <f>'OK OK'!D4</f>
        <v>1.43</v>
      </c>
      <c r="E36">
        <f>'OK OK'!E4</f>
        <v>0</v>
      </c>
      <c r="F36">
        <f>'OK OK'!F4</f>
        <v>0</v>
      </c>
      <c r="G36">
        <f>'OK OK'!G4</f>
        <v>0.2</v>
      </c>
      <c r="H36">
        <f>'OK OK'!H4</f>
        <v>5.0000000000000001E-3</v>
      </c>
      <c r="I36">
        <f>'OK OK'!I4</f>
        <v>1E-3</v>
      </c>
      <c r="J36">
        <f>'OK OK'!J4</f>
        <v>1E-3</v>
      </c>
      <c r="K36">
        <f>'OK OK'!K4</f>
        <v>1.5E-3</v>
      </c>
      <c r="L36">
        <f>'OK OK'!L4</f>
        <v>1.6</v>
      </c>
      <c r="M36">
        <f>'OK OK'!M4</f>
        <v>1E-3</v>
      </c>
      <c r="N36">
        <f>'OK OK'!N4</f>
        <v>1.3</v>
      </c>
      <c r="O36">
        <f>'OK OK'!O4</f>
        <v>0.19</v>
      </c>
      <c r="P36">
        <f>'OK OK'!P4</f>
        <v>0</v>
      </c>
      <c r="Q36">
        <f>'OK OK'!Q4</f>
        <v>5.1999999999999998E-2</v>
      </c>
      <c r="R36">
        <f>'OK OK'!R4</f>
        <v>0</v>
      </c>
      <c r="S36">
        <f>'OK OK'!S4</f>
        <v>0</v>
      </c>
      <c r="T36">
        <f>'OK OK'!T4</f>
        <v>0</v>
      </c>
      <c r="U36">
        <f>'OK OK'!U4</f>
        <v>0</v>
      </c>
      <c r="V36">
        <f>'OK OK'!V4</f>
        <v>0</v>
      </c>
      <c r="W36">
        <f>'OK OK'!W4</f>
        <v>0</v>
      </c>
      <c r="X36">
        <f>'OK OK'!X4</f>
        <v>0</v>
      </c>
      <c r="Y36">
        <f>'OK OK'!Y4</f>
        <v>0</v>
      </c>
      <c r="Z36">
        <f>'OK OK'!Z4</f>
        <v>0</v>
      </c>
    </row>
    <row r="37" spans="1:26" x14ac:dyDescent="0.25">
      <c r="A37" s="96" t="s">
        <v>165</v>
      </c>
      <c r="B37">
        <f>100-C37-D37-E37-F37-G37-H37-I37-J37-K37-L37-M37-N37-O37-P37-Q37-R37-S37-T37-U37-V37-W37-X37-Y37-Z37</f>
        <v>94.444531395162613</v>
      </c>
      <c r="C37">
        <f>C36/G6</f>
        <v>0.87179177612717806</v>
      </c>
      <c r="D37">
        <f>D36/G6</f>
        <v>1.4007440897324321</v>
      </c>
      <c r="E37">
        <f>E36/G6</f>
        <v>0</v>
      </c>
      <c r="F37">
        <f>F36/G6</f>
        <v>0</v>
      </c>
      <c r="G37">
        <f>G36/G6</f>
        <v>0.19590826429824226</v>
      </c>
      <c r="H37">
        <f>H36/G6</f>
        <v>4.8977066074560567E-3</v>
      </c>
      <c r="I37">
        <f>I36/G6</f>
        <v>9.7954132149121126E-4</v>
      </c>
      <c r="J37">
        <f>J36/G6</f>
        <v>9.7954132149121126E-4</v>
      </c>
      <c r="K37">
        <f>K36/G6</f>
        <v>1.4693119822368169E-3</v>
      </c>
      <c r="L37">
        <f>L36/G6</f>
        <v>1.5672661143859381</v>
      </c>
      <c r="M37">
        <f>M36/G6</f>
        <v>9.7954132149121126E-4</v>
      </c>
      <c r="N37">
        <f>N36/G6</f>
        <v>1.2734037179385747</v>
      </c>
      <c r="O37">
        <f>O36/G6</f>
        <v>0.18611285108333014</v>
      </c>
      <c r="P37">
        <f>P36/G6</f>
        <v>0</v>
      </c>
      <c r="Q37">
        <f>Q36/G6</f>
        <v>5.0936148717542984E-2</v>
      </c>
      <c r="R37">
        <f>R36/G6</f>
        <v>0</v>
      </c>
      <c r="S37">
        <f>S36/G6</f>
        <v>0</v>
      </c>
      <c r="T37">
        <f>T36/G6</f>
        <v>0</v>
      </c>
      <c r="U37">
        <f>U36/G6</f>
        <v>0</v>
      </c>
      <c r="V37">
        <f>V36/G6</f>
        <v>0</v>
      </c>
      <c r="W37">
        <f>W36/G6</f>
        <v>0</v>
      </c>
      <c r="X37">
        <f>X36/G6</f>
        <v>0</v>
      </c>
      <c r="Y37">
        <f>Y36/G6</f>
        <v>0</v>
      </c>
      <c r="Z37">
        <f>Z36/G6</f>
        <v>0</v>
      </c>
    </row>
    <row r="54" spans="1:51" ht="18.75" x14ac:dyDescent="0.3">
      <c r="B54" s="210" t="s">
        <v>14</v>
      </c>
      <c r="C54" s="210" t="s">
        <v>15</v>
      </c>
      <c r="D54" s="210" t="s">
        <v>8</v>
      </c>
      <c r="E54" s="210" t="s">
        <v>9</v>
      </c>
      <c r="F54" s="210" t="s">
        <v>234</v>
      </c>
      <c r="G54" s="210" t="s">
        <v>56</v>
      </c>
      <c r="H54" s="210" t="s">
        <v>57</v>
      </c>
      <c r="I54" s="210" t="s">
        <v>58</v>
      </c>
      <c r="J54" s="210" t="s">
        <v>77</v>
      </c>
      <c r="K54" s="210" t="s">
        <v>204</v>
      </c>
      <c r="L54" s="210" t="s">
        <v>16</v>
      </c>
      <c r="M54" s="210" t="s">
        <v>12</v>
      </c>
      <c r="N54" s="210" t="s">
        <v>44</v>
      </c>
      <c r="O54" s="210" t="s">
        <v>55</v>
      </c>
      <c r="P54" s="210" t="s">
        <v>17</v>
      </c>
      <c r="Q54" s="210" t="s">
        <v>80</v>
      </c>
      <c r="R54" s="210" t="s">
        <v>81</v>
      </c>
      <c r="S54" s="210" t="s">
        <v>82</v>
      </c>
      <c r="T54" s="210" t="s">
        <v>83</v>
      </c>
      <c r="U54" s="210" t="s">
        <v>45</v>
      </c>
      <c r="V54" s="210" t="s">
        <v>43</v>
      </c>
      <c r="W54" s="210" t="s">
        <v>13</v>
      </c>
      <c r="X54" s="210" t="s">
        <v>0</v>
      </c>
      <c r="Y54" s="210" t="s">
        <v>11</v>
      </c>
      <c r="Z54" s="210" t="s">
        <v>10</v>
      </c>
      <c r="AA54" s="57" t="s">
        <v>14</v>
      </c>
      <c r="AB54" s="58" t="s">
        <v>15</v>
      </c>
      <c r="AC54" s="59" t="s">
        <v>8</v>
      </c>
      <c r="AD54" s="60" t="s">
        <v>9</v>
      </c>
      <c r="AE54" s="59" t="s">
        <v>234</v>
      </c>
      <c r="AF54" s="59" t="s">
        <v>56</v>
      </c>
      <c r="AG54" s="60" t="s">
        <v>57</v>
      </c>
      <c r="AH54" s="59" t="s">
        <v>58</v>
      </c>
      <c r="AI54" s="61" t="s">
        <v>77</v>
      </c>
      <c r="AJ54" s="62" t="s">
        <v>204</v>
      </c>
      <c r="AK54" s="62" t="s">
        <v>16</v>
      </c>
      <c r="AL54" s="63" t="s">
        <v>13</v>
      </c>
      <c r="AM54" s="63" t="s">
        <v>44</v>
      </c>
      <c r="AN54" s="62" t="s">
        <v>55</v>
      </c>
      <c r="AO54" s="35" t="s">
        <v>17</v>
      </c>
      <c r="AP54" s="35" t="s">
        <v>80</v>
      </c>
      <c r="AQ54" s="35" t="s">
        <v>81</v>
      </c>
      <c r="AR54" s="35" t="s">
        <v>82</v>
      </c>
      <c r="AS54" s="35" t="s">
        <v>83</v>
      </c>
      <c r="AT54" s="35" t="s">
        <v>45</v>
      </c>
      <c r="AU54" s="35" t="s">
        <v>43</v>
      </c>
      <c r="AV54" s="35" t="s">
        <v>12</v>
      </c>
      <c r="AW54" s="35" t="s">
        <v>0</v>
      </c>
      <c r="AX54" s="35" t="s">
        <v>11</v>
      </c>
      <c r="AY54" s="35" t="s">
        <v>10</v>
      </c>
    </row>
    <row r="55" spans="1:51" ht="18.75" x14ac:dyDescent="0.3">
      <c r="B55" s="36">
        <f>100-C55-D55-E55-F55-G55-H55-I55-J55-K55-L55-M55-N55-O55-P55-Q55-R55-S55-T55-U55-V55-W55-X55-Y55-Z55</f>
        <v>94.444531395162613</v>
      </c>
      <c r="C55" s="37">
        <f>C37</f>
        <v>0.87179177612717806</v>
      </c>
      <c r="D55" s="37">
        <f t="shared" ref="D55:Z55" si="12">D37</f>
        <v>1.4007440897324321</v>
      </c>
      <c r="E55" s="37">
        <f t="shared" si="12"/>
        <v>0</v>
      </c>
      <c r="F55" s="37">
        <f t="shared" si="12"/>
        <v>0</v>
      </c>
      <c r="G55" s="37">
        <f t="shared" si="12"/>
        <v>0.19590826429824226</v>
      </c>
      <c r="H55" s="37">
        <f t="shared" si="12"/>
        <v>4.8977066074560567E-3</v>
      </c>
      <c r="I55" s="37">
        <f t="shared" si="12"/>
        <v>9.7954132149121126E-4</v>
      </c>
      <c r="J55" s="37">
        <f t="shared" si="12"/>
        <v>9.7954132149121126E-4</v>
      </c>
      <c r="K55" s="37">
        <f t="shared" si="12"/>
        <v>1.4693119822368169E-3</v>
      </c>
      <c r="L55" s="37">
        <f t="shared" si="12"/>
        <v>1.5672661143859381</v>
      </c>
      <c r="M55" s="37">
        <f t="shared" si="12"/>
        <v>9.7954132149121126E-4</v>
      </c>
      <c r="N55" s="37">
        <f t="shared" si="12"/>
        <v>1.2734037179385747</v>
      </c>
      <c r="O55" s="37">
        <f t="shared" si="12"/>
        <v>0.18611285108333014</v>
      </c>
      <c r="P55" s="37">
        <f t="shared" si="12"/>
        <v>0</v>
      </c>
      <c r="Q55" s="37">
        <f t="shared" si="12"/>
        <v>5.0936148717542984E-2</v>
      </c>
      <c r="R55" s="37">
        <f t="shared" si="12"/>
        <v>0</v>
      </c>
      <c r="S55" s="37">
        <f t="shared" si="12"/>
        <v>0</v>
      </c>
      <c r="T55" s="37">
        <f t="shared" si="12"/>
        <v>0</v>
      </c>
      <c r="U55" s="37">
        <f t="shared" si="12"/>
        <v>0</v>
      </c>
      <c r="V55" s="37">
        <f t="shared" si="12"/>
        <v>0</v>
      </c>
      <c r="W55" s="37">
        <f t="shared" si="12"/>
        <v>0</v>
      </c>
      <c r="X55" s="37">
        <f t="shared" si="12"/>
        <v>0</v>
      </c>
      <c r="Y55" s="37">
        <f t="shared" si="12"/>
        <v>0</v>
      </c>
      <c r="Z55" s="37">
        <f t="shared" si="12"/>
        <v>0</v>
      </c>
      <c r="AA55" s="7">
        <v>55.84</v>
      </c>
      <c r="AB55" s="7">
        <v>28.0855</v>
      </c>
      <c r="AC55" s="7">
        <v>58.693399999999997</v>
      </c>
      <c r="AD55" s="7">
        <v>63.545999999999999</v>
      </c>
      <c r="AE55" s="7">
        <v>65.38</v>
      </c>
      <c r="AF55" s="7">
        <v>12.01</v>
      </c>
      <c r="AG55" s="7">
        <v>30.973762000000001</v>
      </c>
      <c r="AH55" s="7">
        <v>32.064999999999998</v>
      </c>
      <c r="AI55" s="7">
        <v>14.0067</v>
      </c>
      <c r="AJ55" s="7">
        <v>10.81</v>
      </c>
      <c r="AK55" s="7">
        <v>54.938043999999998</v>
      </c>
      <c r="AL55" s="7">
        <v>24.305</v>
      </c>
      <c r="AM55" s="7">
        <v>51.996099999999998</v>
      </c>
      <c r="AN55" s="7">
        <v>95.95</v>
      </c>
      <c r="AO55">
        <v>47.866999999999997</v>
      </c>
      <c r="AP55">
        <v>50.941499999999998</v>
      </c>
      <c r="AQ55">
        <v>92.906369999999995</v>
      </c>
      <c r="AR55">
        <v>183.84</v>
      </c>
      <c r="AS55">
        <v>180.94788</v>
      </c>
      <c r="AT55">
        <v>91.224000000000004</v>
      </c>
      <c r="AU55">
        <v>58.933194999999998</v>
      </c>
      <c r="AV55">
        <v>26.981539999999999</v>
      </c>
      <c r="AW55" s="7">
        <v>121.76</v>
      </c>
      <c r="AX55" s="7">
        <v>207.2</v>
      </c>
      <c r="AY55" s="7">
        <v>118.71</v>
      </c>
    </row>
    <row r="56" spans="1:51" ht="18.75" x14ac:dyDescent="0.3">
      <c r="A56" s="96" t="s">
        <v>166</v>
      </c>
      <c r="B56" s="36">
        <f>100*((((B55)/(AA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92.984378449625424</v>
      </c>
      <c r="C56" s="36">
        <f>100*((((C55)/(AB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1.7065113999954127</v>
      </c>
      <c r="D56" s="36">
        <f>100*((((D55)/(AC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1.3120431447958443</v>
      </c>
      <c r="E56" s="36">
        <f>100*((((E55)/(AD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F56" s="36">
        <f>100*((((F55)/(AE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G56" s="36">
        <f>100*((((G55)/(AF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0.89678499985164362</v>
      </c>
      <c r="H56" s="36">
        <f>100*((((H55)/(AG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8.6931544255249328E-3</v>
      </c>
      <c r="I56" s="36">
        <f>100*((((I55)/(AH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1.6794616947167066E-3</v>
      </c>
      <c r="J56" s="36">
        <f>100*((((J55)/(AI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3.8447271121028644E-3</v>
      </c>
      <c r="K56" s="36">
        <f>100*((((K55)/(AJ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7.4725170084770382E-3</v>
      </c>
      <c r="L56" s="36">
        <f>100*((((L55)/(AK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1.5683685932783833</v>
      </c>
      <c r="M56" s="36">
        <f>100*((((M55)/(AL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2.2156732870228838E-3</v>
      </c>
      <c r="N56" s="36">
        <f>100*((((N55)/(AM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1.3463994609868539</v>
      </c>
      <c r="O56" s="36">
        <f>100*((((O55)/(AN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0.10663750344770533</v>
      </c>
      <c r="P56" s="36">
        <f>100*((((P55)/(AO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Q56" s="36">
        <f>100*((((Q55)/(AP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5.4970914490871721E-2</v>
      </c>
      <c r="R56" s="36">
        <f>100*((((R55)/(AQ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S56" s="36">
        <f>100*((((S55)/(AR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T56" s="36">
        <f>100*((((T55)/(AS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U56" s="36">
        <f>100*((((U55)/(AT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V56" s="36">
        <f>100*((((V55)/(AU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W56" s="36">
        <f>100*((((W55)/(AV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X56" s="7">
        <f>100*((((X55)/(AW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Y56" s="7">
        <f>100*((((Y55)/(AX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Z56" s="7">
        <f>100*((((Z55)/(AY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</sheetData>
  <mergeCells count="1">
    <mergeCell ref="G34:H34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A545-1470-455F-A86C-956FA6ED8635}">
  <dimension ref="B6:AB45"/>
  <sheetViews>
    <sheetView topLeftCell="A6" zoomScale="57" zoomScaleNormal="57" workbookViewId="0">
      <selection activeCell="AE19" sqref="AE19"/>
    </sheetView>
  </sheetViews>
  <sheetFormatPr baseColWidth="10" defaultRowHeight="15" x14ac:dyDescent="0.25"/>
  <cols>
    <col min="1" max="1" width="5" customWidth="1"/>
    <col min="2" max="2" width="4.140625" hidden="1" customWidth="1"/>
    <col min="3" max="3" width="17.85546875" customWidth="1"/>
    <col min="4" max="4" width="16.28515625" bestFit="1" customWidth="1"/>
    <col min="5" max="17" width="14.7109375" bestFit="1" customWidth="1"/>
    <col min="18" max="28" width="18.5703125" bestFit="1" customWidth="1"/>
  </cols>
  <sheetData>
    <row r="6" spans="2:28" ht="23.25" x14ac:dyDescent="0.35"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  <c r="AB6" s="227"/>
    </row>
    <row r="7" spans="2:28" ht="26.25" x14ac:dyDescent="0.4">
      <c r="B7" s="89"/>
      <c r="C7" s="240" t="s">
        <v>240</v>
      </c>
      <c r="D7" s="245" t="s">
        <v>14</v>
      </c>
      <c r="E7" s="245" t="s">
        <v>15</v>
      </c>
      <c r="F7" s="245" t="s">
        <v>8</v>
      </c>
      <c r="G7" s="245" t="s">
        <v>9</v>
      </c>
      <c r="H7" s="245" t="s">
        <v>234</v>
      </c>
      <c r="I7" s="245" t="s">
        <v>56</v>
      </c>
      <c r="J7" s="245" t="s">
        <v>57</v>
      </c>
      <c r="K7" s="245" t="s">
        <v>58</v>
      </c>
      <c r="L7" s="245" t="s">
        <v>77</v>
      </c>
      <c r="M7" s="245" t="s">
        <v>204</v>
      </c>
      <c r="N7" s="245" t="s">
        <v>16</v>
      </c>
      <c r="O7" s="245" t="s">
        <v>12</v>
      </c>
      <c r="P7" s="245" t="s">
        <v>44</v>
      </c>
      <c r="Q7" s="245" t="s">
        <v>55</v>
      </c>
      <c r="R7" s="245" t="s">
        <v>17</v>
      </c>
      <c r="S7" s="245" t="s">
        <v>80</v>
      </c>
      <c r="T7" s="245" t="s">
        <v>81</v>
      </c>
      <c r="U7" s="245" t="s">
        <v>82</v>
      </c>
      <c r="V7" s="245" t="s">
        <v>83</v>
      </c>
      <c r="W7" s="245" t="s">
        <v>45</v>
      </c>
      <c r="X7" s="245" t="s">
        <v>43</v>
      </c>
      <c r="Y7" s="245" t="s">
        <v>13</v>
      </c>
      <c r="Z7" s="245" t="s">
        <v>0</v>
      </c>
      <c r="AA7" s="245" t="s">
        <v>11</v>
      </c>
      <c r="AB7" s="254" t="s">
        <v>10</v>
      </c>
    </row>
    <row r="8" spans="2:28" ht="21" x14ac:dyDescent="0.35">
      <c r="C8" s="240">
        <v>1</v>
      </c>
      <c r="D8" s="246">
        <f>'Tab1EQ 1_1'!B19</f>
        <v>93.598807806106691</v>
      </c>
      <c r="E8" s="246">
        <f>'Tab1EQ 1_1'!C19</f>
        <v>0.8717917293387516</v>
      </c>
      <c r="F8" s="241">
        <f>'Tab1EQ 1_1'!D19</f>
        <v>1.4575042833282961</v>
      </c>
      <c r="G8" s="241">
        <f>'Tab1EQ 1_1'!E19</f>
        <v>0</v>
      </c>
      <c r="H8" s="241">
        <f>'Tab1EQ 1_1'!F19</f>
        <v>0</v>
      </c>
      <c r="I8" s="246">
        <f>'Tab1EQ 1_1'!G19</f>
        <v>0.81481738515196134</v>
      </c>
      <c r="J8" s="241">
        <f>'Tab1EQ 1_1'!H19</f>
        <v>5.0064370348226889E-3</v>
      </c>
      <c r="K8" s="241">
        <f>'Tab1EQ 1_1'!I19</f>
        <v>1.0012874069645378E-3</v>
      </c>
      <c r="L8" s="241">
        <f>'Tab1EQ 1_1'!J19</f>
        <v>1.0012874069645376E-3</v>
      </c>
      <c r="M8" s="241">
        <f>'Tab1EQ 1_1'!K19</f>
        <v>1.5019311104468066E-3</v>
      </c>
      <c r="N8" s="246">
        <f>'Tab1EQ 1_1'!L19</f>
        <v>1.7053117226059147</v>
      </c>
      <c r="O8" s="246">
        <f>'Tab1EQ 1_1'!M19</f>
        <v>1.0012874069645376E-3</v>
      </c>
      <c r="P8" s="246">
        <f>'Tab1EQ 1_1'!N19</f>
        <v>1.2911935322602954</v>
      </c>
      <c r="Q8" s="241">
        <f>'Tab1EQ 1_1'!O19</f>
        <v>0.19835803294374477</v>
      </c>
      <c r="R8" s="241">
        <f>'Tab1EQ 1_1'!P19</f>
        <v>0</v>
      </c>
      <c r="S8" s="241">
        <f>'Tab1EQ 1_1'!Q19</f>
        <v>5.2703277898170461E-2</v>
      </c>
      <c r="T8" s="241">
        <f>'Tab1EQ 1_1'!R19</f>
        <v>0</v>
      </c>
      <c r="U8" s="241">
        <f>'Tab1EQ 1_1'!S19</f>
        <v>0</v>
      </c>
      <c r="V8" s="241">
        <f>'Tab1EQ 1_1'!T19</f>
        <v>0</v>
      </c>
      <c r="W8" s="241">
        <f>'Tab1EQ 1_1'!U19</f>
        <v>0</v>
      </c>
      <c r="X8" s="241">
        <f>'Tab1EQ 1_1'!V19</f>
        <v>0</v>
      </c>
      <c r="Y8" s="241">
        <f>'Tab1EQ 1_1'!W19</f>
        <v>0</v>
      </c>
      <c r="Z8" s="241">
        <f>'Tab1EQ 1_1'!X19</f>
        <v>0</v>
      </c>
      <c r="AA8" s="241">
        <f>'Tab1EQ 1_1'!Y19</f>
        <v>0</v>
      </c>
      <c r="AB8" s="255">
        <f>'Tab1EQ 1_1'!Z19</f>
        <v>0</v>
      </c>
    </row>
    <row r="9" spans="2:28" ht="21" x14ac:dyDescent="0.35">
      <c r="C9" s="240" t="s">
        <v>239</v>
      </c>
      <c r="D9" s="247">
        <f>'opt 1'!O9</f>
        <v>12.252666534334935</v>
      </c>
      <c r="E9" s="247" t="str">
        <f>'opt 1'!O10</f>
        <v/>
      </c>
      <c r="F9" s="242">
        <f>'opt 1'!O11</f>
        <v>0.57948181244770325</v>
      </c>
      <c r="G9" s="242" t="str">
        <f>'opt 1'!O12</f>
        <v/>
      </c>
      <c r="H9" s="242" t="str">
        <f>'opt 1'!O13</f>
        <v/>
      </c>
      <c r="I9" s="247">
        <f>'opt 1'!O14</f>
        <v>6.3198039113032234</v>
      </c>
      <c r="J9" s="242" t="str">
        <f>'opt 1'!O15</f>
        <v/>
      </c>
      <c r="K9" s="242" t="str">
        <f>'opt 1'!O16</f>
        <v/>
      </c>
      <c r="L9" s="242" t="str">
        <f>'opt 1'!O17</f>
        <v/>
      </c>
      <c r="M9" s="242" t="str">
        <f>'opt 1'!O18</f>
        <v/>
      </c>
      <c r="N9" s="247">
        <f>'opt 1'!O19</f>
        <v>1.4093479422119302</v>
      </c>
      <c r="O9" s="247" t="str">
        <f>'opt 1'!O20</f>
        <v/>
      </c>
      <c r="P9" s="247">
        <f>'opt 1'!O21</f>
        <v>0.18162199849419558</v>
      </c>
      <c r="Q9" s="242">
        <f>'opt 1'!O22</f>
        <v>0.12501466465581612</v>
      </c>
      <c r="R9" s="242">
        <f>'opt 1'!O23</f>
        <v>0</v>
      </c>
      <c r="S9" s="242">
        <f>'opt 1'!O24</f>
        <v>0</v>
      </c>
      <c r="T9" s="242">
        <f>'opt 1'!O25</f>
        <v>0</v>
      </c>
      <c r="U9" s="242">
        <f>'opt 1'!O26</f>
        <v>0</v>
      </c>
      <c r="V9" s="242">
        <f>'opt 1'!O27</f>
        <v>0</v>
      </c>
      <c r="W9" s="242">
        <f>'opt 1'!O28</f>
        <v>0</v>
      </c>
      <c r="X9" s="242">
        <f>'opt 1'!O29</f>
        <v>0</v>
      </c>
      <c r="Y9" s="242">
        <f>'opt 1'!O30</f>
        <v>0</v>
      </c>
      <c r="Z9" s="242">
        <f>'opt 1'!O31</f>
        <v>0</v>
      </c>
      <c r="AA9" s="242">
        <f>'opt 1'!O32</f>
        <v>0</v>
      </c>
      <c r="AB9" s="255">
        <f>'opt 1'!O33</f>
        <v>0</v>
      </c>
    </row>
    <row r="10" spans="2:28" ht="21" x14ac:dyDescent="0.35">
      <c r="B10" s="89"/>
      <c r="C10" s="240"/>
      <c r="D10" s="248"/>
      <c r="E10" s="244"/>
      <c r="F10" s="240"/>
      <c r="G10" s="240"/>
      <c r="H10" s="240"/>
      <c r="I10" s="244"/>
      <c r="J10" s="240"/>
      <c r="K10" s="240"/>
      <c r="L10" s="240"/>
      <c r="M10" s="240"/>
      <c r="N10" s="244"/>
      <c r="O10" s="244"/>
      <c r="P10" s="244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56"/>
    </row>
    <row r="11" spans="2:28" ht="21" x14ac:dyDescent="0.35">
      <c r="B11" s="89"/>
      <c r="C11" s="240">
        <v>2</v>
      </c>
      <c r="D11" s="246">
        <f>'Tab1EQ opt2_1'!B19</f>
        <v>70.611535708766269</v>
      </c>
      <c r="E11" s="246">
        <f>'Tab1EQ opt2_1'!C19</f>
        <v>0.47449177870684484</v>
      </c>
      <c r="F11" s="241">
        <f>'Tab1EQ opt2_1'!D19</f>
        <v>0</v>
      </c>
      <c r="G11" s="241">
        <f>'Tab1EQ opt2_1'!E19</f>
        <v>0</v>
      </c>
      <c r="H11" s="241">
        <f>'Tab1EQ opt2_1'!F19</f>
        <v>0</v>
      </c>
      <c r="I11" s="246">
        <f>'Tab1EQ opt2_1'!G19</f>
        <v>2.921810406675208</v>
      </c>
      <c r="J11" s="241">
        <f>'Tab1EQ opt2_1'!H19</f>
        <v>2.6028835075715545E-3</v>
      </c>
      <c r="K11" s="241">
        <f>'Tab1EQ opt2_1'!I19</f>
        <v>5.2057670151431097E-4</v>
      </c>
      <c r="L11" s="241">
        <f>'Tab1EQ opt2_1'!J19</f>
        <v>5.2057670151431075E-4</v>
      </c>
      <c r="M11" s="241">
        <f>'Tab1EQ opt2_1'!K19</f>
        <v>7.8086505227146661E-4</v>
      </c>
      <c r="N11" s="246">
        <f>'Tab1EQ opt2_1'!L19</f>
        <v>0.74252266019789281</v>
      </c>
      <c r="O11" s="246">
        <f>'Tab1EQ opt2_1'!M19</f>
        <v>0</v>
      </c>
      <c r="P11" s="246">
        <f>'Tab1EQ opt2_1'!N19</f>
        <v>25.218144555212156</v>
      </c>
      <c r="Q11" s="241">
        <f>'Tab1EQ opt2_1'!O19</f>
        <v>0</v>
      </c>
      <c r="R11" s="241">
        <f>'Tab1EQ opt2_1'!P19</f>
        <v>0</v>
      </c>
      <c r="S11" s="241">
        <f>'Tab1EQ opt2_1'!Q19</f>
        <v>2.7069988478744166E-2</v>
      </c>
      <c r="T11" s="241">
        <f>'Tab1EQ opt2_1'!R19</f>
        <v>0</v>
      </c>
      <c r="U11" s="241">
        <f>'Tab1EQ opt2_1'!S19</f>
        <v>0</v>
      </c>
      <c r="V11" s="241">
        <f>'Tab1EQ opt2_1'!T19</f>
        <v>0</v>
      </c>
      <c r="W11" s="241">
        <f>'Tab1EQ opt2_1'!U19</f>
        <v>0</v>
      </c>
      <c r="X11" s="241">
        <f>'Tab1EQ opt2_1'!V19</f>
        <v>0</v>
      </c>
      <c r="Y11" s="241">
        <f>'Tab1EQ opt2_1'!W19</f>
        <v>0</v>
      </c>
      <c r="Z11" s="241">
        <f>'Tab1EQ opt2_1'!X19</f>
        <v>0</v>
      </c>
      <c r="AA11" s="241">
        <f>'Tab1EQ opt2_1'!Y19</f>
        <v>0</v>
      </c>
      <c r="AB11" s="255">
        <f>'Tab1EQ opt2_1'!Z19</f>
        <v>0</v>
      </c>
    </row>
    <row r="12" spans="2:28" ht="21" x14ac:dyDescent="0.35">
      <c r="B12" s="89"/>
      <c r="C12" s="240" t="s">
        <v>239</v>
      </c>
      <c r="D12" s="247">
        <f>'opt 2'!O9</f>
        <v>577.29993575840388</v>
      </c>
      <c r="E12" s="247">
        <f>'opt 2'!O10</f>
        <v>1.3244818411979828</v>
      </c>
      <c r="F12" s="242" t="str">
        <f>'opt 2'!O11</f>
        <v/>
      </c>
      <c r="G12" s="242" t="str">
        <f>'opt 2'!O12</f>
        <v/>
      </c>
      <c r="H12" s="242">
        <f>'opt 2'!O13</f>
        <v>0</v>
      </c>
      <c r="I12" s="247">
        <f>'opt 2'!O14</f>
        <v>60.908874800206462</v>
      </c>
      <c r="J12" s="242" t="str">
        <f>'opt 2'!O15</f>
        <v/>
      </c>
      <c r="K12" s="242" t="str">
        <f>'opt 2'!O16</f>
        <v/>
      </c>
      <c r="L12" s="242" t="str">
        <f>'opt 2'!O17</f>
        <v/>
      </c>
      <c r="M12" s="242" t="str">
        <f>'opt 2'!O18</f>
        <v/>
      </c>
      <c r="N12" s="247" t="str">
        <f>'opt 2'!O19</f>
        <v/>
      </c>
      <c r="O12" s="247" t="str">
        <f>'opt 2'!O20</f>
        <v/>
      </c>
      <c r="P12" s="247">
        <f>'opt 2'!O21</f>
        <v>532.17726128921061</v>
      </c>
      <c r="Q12" s="242" t="str">
        <f>'opt 2'!O22</f>
        <v/>
      </c>
      <c r="R12" s="243" t="str">
        <f>'opt 2'!O23</f>
        <v/>
      </c>
      <c r="S12" s="243" t="str">
        <f>'opt 2'!O24</f>
        <v/>
      </c>
      <c r="T12" s="243" t="str">
        <f>'opt 2'!O25</f>
        <v/>
      </c>
      <c r="U12" s="243" t="str">
        <f>'opt 2'!O26</f>
        <v/>
      </c>
      <c r="V12" s="243" t="str">
        <f>'opt 2'!O27</f>
        <v/>
      </c>
      <c r="W12" s="243" t="str">
        <f>'opt 2'!O28</f>
        <v/>
      </c>
      <c r="X12" s="243" t="str">
        <f>'opt 2'!O29</f>
        <v/>
      </c>
      <c r="Y12" s="243" t="str">
        <f>'opt 2'!O30</f>
        <v/>
      </c>
      <c r="Z12" s="243" t="str">
        <f>'opt 2'!O31</f>
        <v/>
      </c>
      <c r="AA12" s="243" t="str">
        <f>'opt 2'!O32</f>
        <v/>
      </c>
      <c r="AB12" s="256">
        <f>'opt 2'!O33</f>
        <v>1171.710553689019</v>
      </c>
    </row>
    <row r="13" spans="2:28" ht="21" x14ac:dyDescent="0.35">
      <c r="B13" s="89"/>
      <c r="C13" s="240"/>
      <c r="D13" s="248"/>
      <c r="E13" s="244"/>
      <c r="F13" s="240"/>
      <c r="G13" s="240"/>
      <c r="H13" s="240"/>
      <c r="I13" s="244"/>
      <c r="J13" s="240"/>
      <c r="K13" s="240"/>
      <c r="L13" s="240"/>
      <c r="M13" s="240"/>
      <c r="N13" s="244"/>
      <c r="O13" s="244"/>
      <c r="P13" s="244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56"/>
    </row>
    <row r="14" spans="2:28" ht="21" x14ac:dyDescent="0.35">
      <c r="B14" s="89"/>
      <c r="C14" s="240">
        <v>3</v>
      </c>
      <c r="D14" s="246">
        <f>'Tab1EQ 3_1'!B19</f>
        <v>67.961294068098752</v>
      </c>
      <c r="E14" s="246">
        <f>'Tab1EQ 3_1'!C19</f>
        <v>0.7576347470606295</v>
      </c>
      <c r="F14" s="241">
        <f>'Tab1EQ 3_1'!D19</f>
        <v>0.55959721568546983</v>
      </c>
      <c r="G14" s="241">
        <f>'Tab1EQ 3_1'!E19</f>
        <v>0</v>
      </c>
      <c r="H14" s="241">
        <f>'Tab1EQ 3_1'!F19</f>
        <v>0</v>
      </c>
      <c r="I14" s="246">
        <f>'Tab1EQ 3_1'!G19</f>
        <v>2.8802398749374407</v>
      </c>
      <c r="J14" s="241">
        <f>'Tab1EQ 3_1'!H19</f>
        <v>1.9566336212778665E-3</v>
      </c>
      <c r="K14" s="241">
        <f>'Tab1EQ 3_1'!I19</f>
        <v>3.9132672425557337E-4</v>
      </c>
      <c r="L14" s="241">
        <f>'Tab1EQ 3_1'!J19</f>
        <v>3.9132672425557337E-4</v>
      </c>
      <c r="M14" s="241">
        <f>'Tab1EQ 3_1'!K19</f>
        <v>5.8699008638336012E-4</v>
      </c>
      <c r="N14" s="246">
        <f>'Tab1EQ 3_1'!L19</f>
        <v>0.55575347247617635</v>
      </c>
      <c r="O14" s="246">
        <f>'Tab1EQ 3_1'!M19</f>
        <v>0</v>
      </c>
      <c r="P14" s="246">
        <f>'Tab1EQ 3_1'!N19</f>
        <v>26.29117477178773</v>
      </c>
      <c r="Q14" s="241">
        <f>'Tab1EQ 3_1'!O19</f>
        <v>0.97063058313632578</v>
      </c>
      <c r="R14" s="241">
        <f>'Tab1EQ 3_1'!P19</f>
        <v>0</v>
      </c>
      <c r="S14" s="241">
        <f>'Tab1EQ 3_1'!Q19</f>
        <v>2.0348989661289816E-2</v>
      </c>
      <c r="T14" s="241">
        <f>'Tab1EQ 3_1'!R19</f>
        <v>0</v>
      </c>
      <c r="U14" s="241">
        <f>'Tab1EQ 3_1'!S19</f>
        <v>0</v>
      </c>
      <c r="V14" s="241">
        <f>'Tab1EQ 3_1'!T19</f>
        <v>0</v>
      </c>
      <c r="W14" s="241">
        <f>'Tab1EQ 3_1'!U19</f>
        <v>0</v>
      </c>
      <c r="X14" s="241">
        <f>'Tab1EQ 3_1'!V19</f>
        <v>0</v>
      </c>
      <c r="Y14" s="241">
        <f>'Tab1EQ 3_1'!W19</f>
        <v>0</v>
      </c>
      <c r="Z14" s="241">
        <f>'Tab1EQ 3_1'!X19</f>
        <v>0</v>
      </c>
      <c r="AA14" s="241">
        <f>'Tab1EQ 3_1'!Y19</f>
        <v>0</v>
      </c>
      <c r="AB14" s="255">
        <f>'Tab1EQ 3_1'!Z19</f>
        <v>0</v>
      </c>
    </row>
    <row r="15" spans="2:28" ht="21" x14ac:dyDescent="0.35">
      <c r="B15" s="89"/>
      <c r="C15" s="240" t="s">
        <v>239</v>
      </c>
      <c r="D15" s="247">
        <f>'opt 3'!O9</f>
        <v>1012.0737881532765</v>
      </c>
      <c r="E15" s="247">
        <f>'opt 3'!O10</f>
        <v>12.912648419648855</v>
      </c>
      <c r="F15" s="242" t="str">
        <f>'opt 3'!O11</f>
        <v/>
      </c>
      <c r="G15" s="242" t="str">
        <f>'opt 3'!O12</f>
        <v/>
      </c>
      <c r="H15" s="242" t="str">
        <f>'opt 3'!O13</f>
        <v/>
      </c>
      <c r="I15" s="247">
        <f>'opt 3'!O14</f>
        <v>84.228235635503722</v>
      </c>
      <c r="J15" s="242" t="str">
        <f>'opt 3'!O15</f>
        <v/>
      </c>
      <c r="K15" s="242" t="str">
        <f>'opt 3'!O16</f>
        <v/>
      </c>
      <c r="L15" s="242" t="str">
        <f>'opt 3'!O17</f>
        <v/>
      </c>
      <c r="M15" s="242" t="str">
        <f>'opt 3'!O18</f>
        <v/>
      </c>
      <c r="N15" s="247" t="str">
        <f>'opt 3'!O19</f>
        <v/>
      </c>
      <c r="O15" s="247" t="str">
        <f>'opt 3'!O20</f>
        <v/>
      </c>
      <c r="P15" s="247">
        <f>'opt 3'!O21</f>
        <v>745.70523422161239</v>
      </c>
      <c r="Q15" s="242" t="str">
        <f>'opt 3'!O22</f>
        <v/>
      </c>
      <c r="R15" s="242" t="str">
        <f>'opt 3'!O23</f>
        <v/>
      </c>
      <c r="S15" s="242" t="str">
        <f>'opt 3'!O24</f>
        <v/>
      </c>
      <c r="T15" s="242" t="str">
        <f>'opt 3'!O25</f>
        <v/>
      </c>
      <c r="U15" s="242" t="str">
        <f>'opt 3'!O26</f>
        <v/>
      </c>
      <c r="V15" s="242" t="str">
        <f>'opt 3'!O27</f>
        <v/>
      </c>
      <c r="W15" s="242" t="str">
        <f>'opt 3'!O28</f>
        <v/>
      </c>
      <c r="X15" s="242" t="str">
        <f>'opt 3'!O29</f>
        <v/>
      </c>
      <c r="Y15" s="242" t="str">
        <f>'opt 3'!O30</f>
        <v/>
      </c>
      <c r="Z15" s="242" t="str">
        <f>'opt 3'!O31</f>
        <v/>
      </c>
      <c r="AA15" s="242" t="str">
        <f>'opt 3'!O32</f>
        <v/>
      </c>
      <c r="AB15" s="255">
        <f>'opt 3'!O33</f>
        <v>1854.9199064300415</v>
      </c>
    </row>
    <row r="16" spans="2:28" ht="21" x14ac:dyDescent="0.35">
      <c r="B16" s="89"/>
      <c r="C16" s="240"/>
      <c r="D16" s="248"/>
      <c r="E16" s="244"/>
      <c r="F16" s="240"/>
      <c r="G16" s="240"/>
      <c r="H16" s="240"/>
      <c r="I16" s="244"/>
      <c r="J16" s="240"/>
      <c r="K16" s="240"/>
      <c r="L16" s="240"/>
      <c r="M16" s="240"/>
      <c r="N16" s="244"/>
      <c r="O16" s="244"/>
      <c r="P16" s="244"/>
      <c r="Q16" s="240"/>
      <c r="R16" s="240"/>
      <c r="S16" s="240"/>
      <c r="T16" s="240"/>
      <c r="U16" s="240"/>
      <c r="V16" s="240"/>
      <c r="W16" s="240"/>
      <c r="X16" s="240"/>
      <c r="Y16" s="240"/>
      <c r="Z16" s="240"/>
      <c r="AA16" s="240"/>
      <c r="AB16" s="256"/>
    </row>
    <row r="17" spans="2:28" ht="21" x14ac:dyDescent="0.35">
      <c r="B17" s="89"/>
      <c r="C17" s="240">
        <v>4</v>
      </c>
      <c r="D17" s="246">
        <f>'Tab1EQ 4_1'!B19</f>
        <v>68.681060707588259</v>
      </c>
      <c r="E17" s="246">
        <f>'Tab1EQ 4_1'!C19</f>
        <v>0.76051664988371204</v>
      </c>
      <c r="F17" s="241">
        <f>'Tab1EQ 4_1'!D19</f>
        <v>0.56173309346520262</v>
      </c>
      <c r="G17" s="241">
        <f>'Tab1EQ 4_1'!E19</f>
        <v>0</v>
      </c>
      <c r="H17" s="241">
        <f>'Tab1EQ 4_1'!F19</f>
        <v>0</v>
      </c>
      <c r="I17" s="246">
        <f>'Tab1EQ 4_1'!G19</f>
        <v>2.8911942607503036</v>
      </c>
      <c r="J17" s="241">
        <f>'Tab1EQ 4_1'!H19</f>
        <v>1.9641017254028066E-3</v>
      </c>
      <c r="K17" s="241">
        <f>'Tab1EQ 4_1'!I19</f>
        <v>3.9282034508056124E-4</v>
      </c>
      <c r="L17" s="241">
        <f>'Tab1EQ 4_1'!J19</f>
        <v>3.9282034508056124E-4</v>
      </c>
      <c r="M17" s="241">
        <f>'Tab1EQ 4_1'!K19</f>
        <v>5.8923051762084196E-4</v>
      </c>
      <c r="N17" s="246">
        <f>'Tab1EQ 4_1'!L19</f>
        <v>0.55786745617014077</v>
      </c>
      <c r="O17" s="246">
        <f>'Tab1EQ 4_1'!M19</f>
        <v>0</v>
      </c>
      <c r="P17" s="246">
        <f>'Tab1EQ 4_1'!N19</f>
        <v>26.449226335699709</v>
      </c>
      <c r="Q17" s="241">
        <f>'Tab1EQ 4_1'!O19</f>
        <v>7.4635865565306631E-2</v>
      </c>
      <c r="R17" s="241">
        <f>'Tab1EQ 4_1'!P19</f>
        <v>0</v>
      </c>
      <c r="S17" s="241">
        <f>'Tab1EQ 4_1'!Q19</f>
        <v>2.0426657944189183E-2</v>
      </c>
      <c r="T17" s="241">
        <f>'Tab1EQ 4_1'!R19</f>
        <v>0</v>
      </c>
      <c r="U17" s="241">
        <f>'Tab1EQ 4_1'!S19</f>
        <v>0</v>
      </c>
      <c r="V17" s="241">
        <f>'Tab1EQ 4_1'!T19</f>
        <v>0</v>
      </c>
      <c r="W17" s="241">
        <f>'Tab1EQ 4_1'!U19</f>
        <v>0</v>
      </c>
      <c r="X17" s="241">
        <f>'Tab1EQ 4_1'!V19</f>
        <v>0</v>
      </c>
      <c r="Y17" s="241">
        <f>'Tab1EQ 4_1'!W19</f>
        <v>0</v>
      </c>
      <c r="Z17" s="241">
        <f>'Tab1EQ 4_1'!X19</f>
        <v>0</v>
      </c>
      <c r="AA17" s="241">
        <f>'Tab1EQ 4_1'!Y19</f>
        <v>0</v>
      </c>
      <c r="AB17" s="255">
        <f>'Tab1EQ 4_1'!Z19</f>
        <v>0</v>
      </c>
    </row>
    <row r="18" spans="2:28" ht="21" x14ac:dyDescent="0.35">
      <c r="B18" s="89"/>
      <c r="C18" s="240" t="s">
        <v>239</v>
      </c>
      <c r="D18" s="247">
        <f>'opt 4'!O9</f>
        <v>1011.5316761178718</v>
      </c>
      <c r="E18" s="247">
        <f>'opt 4'!O10</f>
        <v>12.912648419648862</v>
      </c>
      <c r="F18" s="242" t="str">
        <f>'opt 4'!O11</f>
        <v/>
      </c>
      <c r="G18" s="242">
        <f>'opt 4'!O12</f>
        <v>0</v>
      </c>
      <c r="H18" s="242" t="str">
        <f>'opt 4'!O13</f>
        <v/>
      </c>
      <c r="I18" s="247">
        <f>'opt 4'!O14</f>
        <v>84.228235635503736</v>
      </c>
      <c r="J18" s="242">
        <f>'opt 4'!O15</f>
        <v>0</v>
      </c>
      <c r="K18" s="242">
        <f>'opt 4'!O16</f>
        <v>0</v>
      </c>
      <c r="L18" s="242" t="str">
        <f>'opt 4'!O17</f>
        <v/>
      </c>
      <c r="M18" s="242" t="str">
        <f>'opt 4'!O18</f>
        <v/>
      </c>
      <c r="N18" s="247" t="str">
        <f>'opt 4'!O19</f>
        <v/>
      </c>
      <c r="O18" s="247" t="str">
        <f>'opt 4'!O20</f>
        <v/>
      </c>
      <c r="P18" s="247">
        <f>'opt 4'!O21</f>
        <v>746.21002848386399</v>
      </c>
      <c r="Q18" s="242">
        <f>'opt 4'!O22</f>
        <v>0</v>
      </c>
      <c r="R18" s="242">
        <f>'opt 4'!O23</f>
        <v>0</v>
      </c>
      <c r="S18" s="242">
        <f>'opt 4'!O24</f>
        <v>0</v>
      </c>
      <c r="T18" s="242">
        <f>'opt 4'!O25</f>
        <v>0</v>
      </c>
      <c r="U18" s="242">
        <f>'opt 4'!O26</f>
        <v>0</v>
      </c>
      <c r="V18" s="242">
        <f>'opt 4'!O27</f>
        <v>0</v>
      </c>
      <c r="W18" s="242">
        <f>'opt 4'!O28</f>
        <v>0</v>
      </c>
      <c r="X18" s="242">
        <f>'opt 4'!O29</f>
        <v>0</v>
      </c>
      <c r="Y18" s="242">
        <f>'opt 4'!O30</f>
        <v>0</v>
      </c>
      <c r="Z18" s="242">
        <f>'opt 4'!O31</f>
        <v>0</v>
      </c>
      <c r="AA18" s="242">
        <f>'opt 4'!O32</f>
        <v>0</v>
      </c>
      <c r="AB18" s="255">
        <f>'opt 4'!O33</f>
        <v>0</v>
      </c>
    </row>
    <row r="19" spans="2:28" ht="21" x14ac:dyDescent="0.35">
      <c r="B19" s="89"/>
      <c r="C19" s="240"/>
      <c r="D19" s="248"/>
      <c r="E19" s="244"/>
      <c r="F19" s="240"/>
      <c r="G19" s="240"/>
      <c r="H19" s="240"/>
      <c r="I19" s="244"/>
      <c r="J19" s="240"/>
      <c r="K19" s="240"/>
      <c r="L19" s="240"/>
      <c r="M19" s="240"/>
      <c r="N19" s="244"/>
      <c r="O19" s="244"/>
      <c r="P19" s="244"/>
      <c r="Q19" s="240"/>
      <c r="R19" s="240"/>
      <c r="S19" s="240"/>
      <c r="T19" s="240"/>
      <c r="U19" s="240"/>
      <c r="V19" s="240"/>
      <c r="W19" s="240"/>
      <c r="X19" s="240"/>
      <c r="Y19" s="240"/>
      <c r="Z19" s="240"/>
      <c r="AA19" s="240"/>
      <c r="AB19" s="256"/>
    </row>
    <row r="20" spans="2:28" ht="21" x14ac:dyDescent="0.35">
      <c r="B20" s="89"/>
      <c r="C20" s="240">
        <v>5</v>
      </c>
      <c r="D20" s="246">
        <f>'Tab1EQ 5_1'!B19</f>
        <v>68.663048384257664</v>
      </c>
      <c r="E20" s="246">
        <f>'Tab1EQ 5_1'!C19</f>
        <v>0.76052649780873993</v>
      </c>
      <c r="F20" s="241">
        <f>'Tab1EQ 5_1'!D19</f>
        <v>0.56174764082143946</v>
      </c>
      <c r="G20" s="241">
        <f>'Tab1EQ 5_1'!E19</f>
        <v>0</v>
      </c>
      <c r="H20" s="241">
        <f>'Tab1EQ 5_1'!F19</f>
        <v>0</v>
      </c>
      <c r="I20" s="246">
        <f>'Tab1EQ 5_1'!G19</f>
        <v>2.8912301833697289</v>
      </c>
      <c r="J20" s="241">
        <f>'Tab1EQ 5_1'!H19</f>
        <v>1.9641525902847541E-3</v>
      </c>
      <c r="K20" s="241">
        <f>'Tab1EQ 5_1'!I19</f>
        <v>3.9283051805695084E-4</v>
      </c>
      <c r="L20" s="241">
        <f>'Tab1EQ 5_1'!J19</f>
        <v>3.9283051805695074E-4</v>
      </c>
      <c r="M20" s="241">
        <f>'Tab1EQ 5_1'!K19</f>
        <v>5.8924577708542624E-4</v>
      </c>
      <c r="N20" s="246">
        <f>'Tab1EQ 5_1'!L19</f>
        <v>0.5578746799921106</v>
      </c>
      <c r="O20" s="246">
        <f>'Tab1EQ 5_1'!M19</f>
        <v>0</v>
      </c>
      <c r="P20" s="246">
        <f>'Tab1EQ 5_1'!N19</f>
        <v>26.467168568977016</v>
      </c>
      <c r="Q20" s="241">
        <f>'Tab1EQ 5_1'!O19</f>
        <v>7.4637798430820648E-2</v>
      </c>
      <c r="R20" s="241">
        <f>'Tab1EQ 5_1'!P19</f>
        <v>0</v>
      </c>
      <c r="S20" s="241">
        <f>'Tab1EQ 5_1'!Q19</f>
        <v>2.042718693896144E-2</v>
      </c>
      <c r="T20" s="241">
        <f>'Tab1EQ 5_1'!R19</f>
        <v>0</v>
      </c>
      <c r="U20" s="241">
        <f>'Tab1EQ 5_1'!S19</f>
        <v>0</v>
      </c>
      <c r="V20" s="241">
        <f>'Tab1EQ 5_1'!T19</f>
        <v>0</v>
      </c>
      <c r="W20" s="241">
        <f>'Tab1EQ 5_1'!U19</f>
        <v>0</v>
      </c>
      <c r="X20" s="241">
        <f>'Tab1EQ 5_1'!V19</f>
        <v>0</v>
      </c>
      <c r="Y20" s="241">
        <f>'Tab1EQ 5_1'!W19</f>
        <v>0</v>
      </c>
      <c r="Z20" s="241">
        <f>'Tab1EQ 5_1'!X19</f>
        <v>0</v>
      </c>
      <c r="AA20" s="241">
        <f>'Tab1EQ 5_1'!Y19</f>
        <v>0</v>
      </c>
      <c r="AB20" s="255">
        <f>'Tab1EQ 5_1'!Z19</f>
        <v>0</v>
      </c>
    </row>
    <row r="21" spans="2:28" ht="21" x14ac:dyDescent="0.35">
      <c r="B21" s="89"/>
      <c r="C21" s="240" t="s">
        <v>239</v>
      </c>
      <c r="D21" s="247">
        <f>'opt 5'!O9</f>
        <v>1010.9895640824667</v>
      </c>
      <c r="E21" s="247">
        <f>'opt 5'!O10</f>
        <v>12.912648419648862</v>
      </c>
      <c r="F21" s="242" t="str">
        <f>'opt 5'!O11</f>
        <v/>
      </c>
      <c r="G21" s="242">
        <f>'opt 5'!O12</f>
        <v>0</v>
      </c>
      <c r="H21" s="242" t="str">
        <f>'opt 5'!O13</f>
        <v/>
      </c>
      <c r="I21" s="247">
        <f>'opt 5'!O14</f>
        <v>84.228235635503736</v>
      </c>
      <c r="J21" s="242">
        <f>'opt 5'!O15</f>
        <v>0</v>
      </c>
      <c r="K21" s="242">
        <f>'opt 5'!O16</f>
        <v>0</v>
      </c>
      <c r="L21" s="242" t="str">
        <f>'opt 5'!O17</f>
        <v/>
      </c>
      <c r="M21" s="242" t="str">
        <f>'opt 5'!O18</f>
        <v/>
      </c>
      <c r="N21" s="247" t="str">
        <f>'opt 5'!O19</f>
        <v/>
      </c>
      <c r="O21" s="247" t="str">
        <f>'opt 5'!O20</f>
        <v/>
      </c>
      <c r="P21" s="247">
        <f>'opt 5'!O21</f>
        <v>746.7148227461156</v>
      </c>
      <c r="Q21" s="242">
        <f>'opt 5'!O22</f>
        <v>0</v>
      </c>
      <c r="R21" s="242">
        <f>'opt 5'!O23</f>
        <v>0</v>
      </c>
      <c r="S21" s="242">
        <f>'opt 5'!O24</f>
        <v>0</v>
      </c>
      <c r="T21" s="242">
        <f>'opt 5'!O25</f>
        <v>0</v>
      </c>
      <c r="U21" s="242">
        <f>'opt 5'!O26</f>
        <v>0</v>
      </c>
      <c r="V21" s="242">
        <f>'opt 5'!O27</f>
        <v>0</v>
      </c>
      <c r="W21" s="242">
        <f>'opt 5'!O28</f>
        <v>0</v>
      </c>
      <c r="X21" s="242">
        <f>'opt 5'!O29</f>
        <v>0</v>
      </c>
      <c r="Y21" s="242">
        <f>'opt 5'!O30</f>
        <v>0</v>
      </c>
      <c r="Z21" s="242">
        <f>'opt 5'!O31</f>
        <v>0</v>
      </c>
      <c r="AA21" s="242">
        <f>'opt 5'!O32</f>
        <v>0</v>
      </c>
      <c r="AB21" s="255">
        <f>'opt 5'!O33</f>
        <v>0</v>
      </c>
    </row>
    <row r="22" spans="2:28" ht="21" x14ac:dyDescent="0.35">
      <c r="B22" s="89"/>
      <c r="C22" s="240"/>
      <c r="D22" s="248"/>
      <c r="E22" s="244"/>
      <c r="F22" s="240"/>
      <c r="G22" s="240"/>
      <c r="H22" s="240"/>
      <c r="I22" s="244"/>
      <c r="J22" s="240"/>
      <c r="K22" s="240"/>
      <c r="L22" s="240"/>
      <c r="M22" s="240"/>
      <c r="N22" s="244"/>
      <c r="O22" s="244"/>
      <c r="P22" s="244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56"/>
    </row>
    <row r="23" spans="2:28" ht="21" x14ac:dyDescent="0.35">
      <c r="B23" s="89"/>
      <c r="C23" s="240">
        <v>6</v>
      </c>
      <c r="D23" s="246" t="e">
        <f>'Tab1EQ 6_1'!B19</f>
        <v>#DIV/0!</v>
      </c>
      <c r="E23" s="246" t="e">
        <f>'Tab1EQ 6_1'!C19</f>
        <v>#DIV/0!</v>
      </c>
      <c r="F23" s="241" t="e">
        <f>'Tab1EQ 6_1'!D19</f>
        <v>#DIV/0!</v>
      </c>
      <c r="G23" s="241" t="e">
        <f>'Tab1EQ 6_1'!E19</f>
        <v>#DIV/0!</v>
      </c>
      <c r="H23" s="241" t="e">
        <f>'Tab1EQ 6_1'!F19</f>
        <v>#DIV/0!</v>
      </c>
      <c r="I23" s="246" t="e">
        <f>'Tab1EQ 6_1'!G19</f>
        <v>#DIV/0!</v>
      </c>
      <c r="J23" s="241" t="e">
        <f>'Tab1EQ 6_1'!H19</f>
        <v>#DIV/0!</v>
      </c>
      <c r="K23" s="241" t="e">
        <f>'Tab1EQ 6_1'!I19</f>
        <v>#DIV/0!</v>
      </c>
      <c r="L23" s="241" t="e">
        <f>'Tab1EQ 6_1'!J19</f>
        <v>#DIV/0!</v>
      </c>
      <c r="M23" s="241" t="e">
        <f>'Tab1EQ 6_1'!K19</f>
        <v>#DIV/0!</v>
      </c>
      <c r="N23" s="246" t="e">
        <f>'Tab1EQ 6_1'!L19</f>
        <v>#DIV/0!</v>
      </c>
      <c r="O23" s="246" t="e">
        <f>'Tab1EQ 6_1'!M19</f>
        <v>#DIV/0!</v>
      </c>
      <c r="P23" s="246" t="e">
        <f>'Tab1EQ 6_1'!N19</f>
        <v>#DIV/0!</v>
      </c>
      <c r="Q23" s="241" t="e">
        <f>'Tab1EQ 6_1'!O19</f>
        <v>#DIV/0!</v>
      </c>
      <c r="R23" s="241" t="e">
        <f>'Tab1EQ 6_1'!P19</f>
        <v>#DIV/0!</v>
      </c>
      <c r="S23" s="241" t="e">
        <f>'Tab1EQ 6_1'!Q19</f>
        <v>#DIV/0!</v>
      </c>
      <c r="T23" s="241" t="e">
        <f>'Tab1EQ 6_1'!R19</f>
        <v>#DIV/0!</v>
      </c>
      <c r="U23" s="241" t="e">
        <f>'Tab1EQ 6_1'!S19</f>
        <v>#DIV/0!</v>
      </c>
      <c r="V23" s="241" t="e">
        <f>'Tab1EQ 6_1'!T19</f>
        <v>#DIV/0!</v>
      </c>
      <c r="W23" s="241" t="e">
        <f>'Tab1EQ 6_1'!U19</f>
        <v>#DIV/0!</v>
      </c>
      <c r="X23" s="241" t="e">
        <f>'Tab1EQ 6_1'!V19</f>
        <v>#DIV/0!</v>
      </c>
      <c r="Y23" s="241" t="e">
        <f>'Tab1EQ 6_1'!W19</f>
        <v>#DIV/0!</v>
      </c>
      <c r="Z23" s="241" t="e">
        <f>'Tab1EQ 6_1'!X19</f>
        <v>#DIV/0!</v>
      </c>
      <c r="AA23" s="241" t="e">
        <f>'Tab1EQ 6_1'!Y19</f>
        <v>#DIV/0!</v>
      </c>
      <c r="AB23" s="255" t="e">
        <f>'Tab1EQ 6_1'!Z19</f>
        <v>#DIV/0!</v>
      </c>
    </row>
    <row r="24" spans="2:28" ht="21" x14ac:dyDescent="0.35">
      <c r="B24" s="89"/>
      <c r="C24" s="240" t="s">
        <v>239</v>
      </c>
      <c r="D24" s="247" t="e">
        <f>'opt 6'!O9</f>
        <v>#DIV/0!</v>
      </c>
      <c r="E24" s="247">
        <f>'opt 6'!O12</f>
        <v>0</v>
      </c>
      <c r="F24" s="242" t="str">
        <f>'opt 6'!O11</f>
        <v/>
      </c>
      <c r="G24" s="242">
        <f>'opt 6'!O12</f>
        <v>0</v>
      </c>
      <c r="H24" s="242" t="str">
        <f>'opt 6'!O13</f>
        <v/>
      </c>
      <c r="I24" s="247" t="str">
        <f>'opt 6'!O14</f>
        <v/>
      </c>
      <c r="J24" s="242">
        <f>'opt 6'!O15</f>
        <v>0</v>
      </c>
      <c r="K24" s="242">
        <f>'opt 6'!O16</f>
        <v>0</v>
      </c>
      <c r="L24" s="242" t="str">
        <f>'opt 6'!O17</f>
        <v/>
      </c>
      <c r="M24" s="242" t="str">
        <f>'opt 6'!O18</f>
        <v/>
      </c>
      <c r="N24" s="247" t="str">
        <f>'opt 6'!O19</f>
        <v/>
      </c>
      <c r="O24" s="247" t="str">
        <f>'opt 6'!O20</f>
        <v/>
      </c>
      <c r="P24" s="247" t="str">
        <f>'opt 6'!O21</f>
        <v/>
      </c>
      <c r="Q24" s="242">
        <f>'opt 6'!O22</f>
        <v>0</v>
      </c>
      <c r="R24" s="242">
        <f>'opt 6'!O23</f>
        <v>0</v>
      </c>
      <c r="S24" s="242">
        <f>'opt 6'!O24</f>
        <v>0</v>
      </c>
      <c r="T24" s="242">
        <f>'opt 6'!O25</f>
        <v>0</v>
      </c>
      <c r="U24" s="242">
        <f>'opt 6'!O26</f>
        <v>0</v>
      </c>
      <c r="V24" s="242">
        <f>'opt 6'!O27</f>
        <v>0</v>
      </c>
      <c r="W24" s="242">
        <f>'opt 6'!O28</f>
        <v>0</v>
      </c>
      <c r="X24" s="242">
        <f>'opt 6'!O29</f>
        <v>0</v>
      </c>
      <c r="Y24" s="242">
        <f>'opt 6'!O30</f>
        <v>0</v>
      </c>
      <c r="Z24" s="242">
        <f>'opt 6'!O31</f>
        <v>0</v>
      </c>
      <c r="AA24" s="242">
        <f>'opt 6'!O32</f>
        <v>0</v>
      </c>
      <c r="AB24" s="255">
        <f>'opt 6'!O33</f>
        <v>0</v>
      </c>
    </row>
    <row r="25" spans="2:28" ht="21" x14ac:dyDescent="0.35">
      <c r="B25" s="89"/>
      <c r="C25" s="240"/>
      <c r="D25" s="248"/>
      <c r="E25" s="244"/>
      <c r="F25" s="240"/>
      <c r="G25" s="240"/>
      <c r="H25" s="240"/>
      <c r="I25" s="244"/>
      <c r="J25" s="240"/>
      <c r="K25" s="240"/>
      <c r="L25" s="240"/>
      <c r="M25" s="240"/>
      <c r="N25" s="244"/>
      <c r="O25" s="244"/>
      <c r="P25" s="244"/>
      <c r="Q25" s="240"/>
      <c r="R25" s="240"/>
      <c r="S25" s="240"/>
      <c r="T25" s="240"/>
      <c r="U25" s="240"/>
      <c r="V25" s="240"/>
      <c r="W25" s="240"/>
      <c r="X25" s="240"/>
      <c r="Y25" s="240"/>
      <c r="Z25" s="240"/>
      <c r="AA25" s="240"/>
      <c r="AB25" s="256"/>
    </row>
    <row r="26" spans="2:28" ht="21" x14ac:dyDescent="0.35">
      <c r="B26" s="89"/>
      <c r="C26" s="240">
        <v>7</v>
      </c>
      <c r="D26" s="246" t="e">
        <f>'Tab1EQ 7_1'!B19</f>
        <v>#DIV/0!</v>
      </c>
      <c r="E26" s="246" t="e">
        <f>'Tab1EQ 7_1'!C19</f>
        <v>#DIV/0!</v>
      </c>
      <c r="F26" s="241" t="e">
        <f>'Tab1EQ 7_1'!D19</f>
        <v>#DIV/0!</v>
      </c>
      <c r="G26" s="241" t="e">
        <f>'Tab1EQ 7_1'!E19</f>
        <v>#DIV/0!</v>
      </c>
      <c r="H26" s="241" t="e">
        <f>'Tab1EQ 7_1'!F19</f>
        <v>#DIV/0!</v>
      </c>
      <c r="I26" s="246" t="e">
        <f>'Tab1EQ 7_1'!G19</f>
        <v>#DIV/0!</v>
      </c>
      <c r="J26" s="241" t="e">
        <f>'Tab1EQ 7_1'!H19</f>
        <v>#DIV/0!</v>
      </c>
      <c r="K26" s="241" t="e">
        <f>'Tab1EQ 7_1'!I19</f>
        <v>#DIV/0!</v>
      </c>
      <c r="L26" s="241" t="e">
        <f>'Tab1EQ 7_1'!J19</f>
        <v>#DIV/0!</v>
      </c>
      <c r="M26" s="241" t="e">
        <f>'Tab1EQ 7_1'!K19</f>
        <v>#DIV/0!</v>
      </c>
      <c r="N26" s="246" t="e">
        <f>'Tab1EQ 7_1'!L19</f>
        <v>#DIV/0!</v>
      </c>
      <c r="O26" s="246" t="e">
        <f>'Tab1EQ 7_1'!M19</f>
        <v>#DIV/0!</v>
      </c>
      <c r="P26" s="246" t="e">
        <f>'Tab1EQ 7_1'!N19</f>
        <v>#DIV/0!</v>
      </c>
      <c r="Q26" s="241" t="e">
        <f>'Tab1EQ 7_1'!O19</f>
        <v>#DIV/0!</v>
      </c>
      <c r="R26" s="241" t="e">
        <f>'Tab1EQ 7_1'!P19</f>
        <v>#DIV/0!</v>
      </c>
      <c r="S26" s="241" t="e">
        <f>'Tab1EQ 7_1'!Q19</f>
        <v>#DIV/0!</v>
      </c>
      <c r="T26" s="241" t="e">
        <f>'Tab1EQ 7_1'!R19</f>
        <v>#DIV/0!</v>
      </c>
      <c r="U26" s="241" t="e">
        <f>'Tab1EQ 7_1'!S19</f>
        <v>#DIV/0!</v>
      </c>
      <c r="V26" s="241" t="e">
        <f>'Tab1EQ 7_1'!T19</f>
        <v>#DIV/0!</v>
      </c>
      <c r="W26" s="241" t="e">
        <f>'Tab1EQ 7_1'!U19</f>
        <v>#DIV/0!</v>
      </c>
      <c r="X26" s="241" t="e">
        <f>'Tab1EQ 7_1'!V19</f>
        <v>#DIV/0!</v>
      </c>
      <c r="Y26" s="241" t="e">
        <f>'Tab1EQ 7_1'!W19</f>
        <v>#DIV/0!</v>
      </c>
      <c r="Z26" s="241" t="e">
        <f>'Tab1EQ 7_1'!X19</f>
        <v>#DIV/0!</v>
      </c>
      <c r="AA26" s="241" t="e">
        <f>'Tab1EQ 7_1'!Y19</f>
        <v>#DIV/0!</v>
      </c>
      <c r="AB26" s="255" t="e">
        <f>'Tab1EQ 7_1'!Z19</f>
        <v>#DIV/0!</v>
      </c>
    </row>
    <row r="27" spans="2:28" ht="21" x14ac:dyDescent="0.35">
      <c r="B27" s="89"/>
      <c r="C27" s="240" t="s">
        <v>239</v>
      </c>
      <c r="D27" s="247" t="e">
        <f>'opt 7'!O9</f>
        <v>#DIV/0!</v>
      </c>
      <c r="E27" s="247" t="str">
        <f>'opt 7'!O10</f>
        <v/>
      </c>
      <c r="F27" s="247" t="str">
        <f>'opt 7'!O11</f>
        <v/>
      </c>
      <c r="G27" s="247">
        <f>'opt 7'!O12</f>
        <v>0</v>
      </c>
      <c r="H27" s="247" t="str">
        <f>'opt 7'!O13</f>
        <v/>
      </c>
      <c r="I27" s="247" t="str">
        <f>'opt 7'!O14</f>
        <v/>
      </c>
      <c r="J27" s="242">
        <f>'opt 7'!O15</f>
        <v>0</v>
      </c>
      <c r="K27" s="242">
        <f>'opt 7'!O16</f>
        <v>0</v>
      </c>
      <c r="L27" s="242" t="str">
        <f>'opt 7'!O17</f>
        <v/>
      </c>
      <c r="M27" s="242" t="str">
        <f>'opt 7'!O18</f>
        <v/>
      </c>
      <c r="N27" s="247" t="str">
        <f>'opt 7'!O19</f>
        <v/>
      </c>
      <c r="O27" s="247" t="str">
        <f>'opt 7'!O20</f>
        <v/>
      </c>
      <c r="P27" s="247" t="str">
        <f>'opt 7'!O21</f>
        <v/>
      </c>
      <c r="Q27" s="242">
        <f>'opt 7'!O22</f>
        <v>0</v>
      </c>
      <c r="R27" s="242">
        <f>'opt 7'!O23</f>
        <v>0</v>
      </c>
      <c r="S27" s="242">
        <f>'opt 7'!O24</f>
        <v>0</v>
      </c>
      <c r="T27" s="242">
        <f>'opt 7'!O25</f>
        <v>0</v>
      </c>
      <c r="U27" s="242">
        <f>'opt 7'!O26</f>
        <v>0</v>
      </c>
      <c r="V27" s="242">
        <f>'opt 7'!O27</f>
        <v>0</v>
      </c>
      <c r="W27" s="242">
        <f>'opt 7'!O28</f>
        <v>0</v>
      </c>
      <c r="X27" s="242">
        <f>'opt 7'!O29</f>
        <v>0</v>
      </c>
      <c r="Y27" s="242">
        <f>'opt 7'!O30</f>
        <v>0</v>
      </c>
      <c r="Z27" s="242">
        <f>'opt 7'!O31</f>
        <v>0</v>
      </c>
      <c r="AA27" s="242">
        <f>'opt 7'!O32</f>
        <v>0</v>
      </c>
      <c r="AB27" s="255">
        <f>'opt 7'!O33</f>
        <v>0</v>
      </c>
    </row>
    <row r="28" spans="2:28" ht="21" x14ac:dyDescent="0.35">
      <c r="B28" s="89"/>
      <c r="C28" s="240"/>
      <c r="N28" s="253"/>
      <c r="O28" s="253"/>
      <c r="P28" s="253"/>
      <c r="AB28" s="257"/>
    </row>
    <row r="29" spans="2:28" ht="21" x14ac:dyDescent="0.35">
      <c r="B29" s="89"/>
      <c r="C29" s="240">
        <v>8</v>
      </c>
      <c r="D29" s="246" t="e">
        <f>'Tab1EQ 8_1'!B19</f>
        <v>#DIV/0!</v>
      </c>
      <c r="E29" s="246" t="e">
        <f>'Tab1EQ 8_1'!C19</f>
        <v>#DIV/0!</v>
      </c>
      <c r="F29" s="241" t="e">
        <f>'Tab1EQ 8_1'!D19</f>
        <v>#DIV/0!</v>
      </c>
      <c r="G29" s="241" t="e">
        <f>'Tab1EQ 8_1'!E19</f>
        <v>#DIV/0!</v>
      </c>
      <c r="H29" s="241" t="e">
        <f>'Tab1EQ 8_1'!F19</f>
        <v>#DIV/0!</v>
      </c>
      <c r="I29" s="246" t="e">
        <f>'Tab1EQ 8_1'!G19</f>
        <v>#DIV/0!</v>
      </c>
      <c r="J29" s="241" t="e">
        <f>'Tab1EQ 8_1'!H19</f>
        <v>#DIV/0!</v>
      </c>
      <c r="K29" s="241" t="e">
        <f>'Tab1EQ 8_1'!I19</f>
        <v>#DIV/0!</v>
      </c>
      <c r="L29" s="241" t="e">
        <f>'Tab1EQ 8_1'!J19</f>
        <v>#DIV/0!</v>
      </c>
      <c r="M29" s="241" t="e">
        <f>'Tab1EQ 8_1'!K19</f>
        <v>#DIV/0!</v>
      </c>
      <c r="N29" s="246" t="e">
        <f>'Tab1EQ 8_1'!L19</f>
        <v>#DIV/0!</v>
      </c>
      <c r="O29" s="246" t="e">
        <f>'Tab1EQ 8_1'!M19</f>
        <v>#DIV/0!</v>
      </c>
      <c r="P29" s="246" t="e">
        <f>'Tab1EQ 8_1'!N19</f>
        <v>#DIV/0!</v>
      </c>
      <c r="Q29" s="241" t="e">
        <f>'Tab1EQ 8_1'!O19</f>
        <v>#DIV/0!</v>
      </c>
      <c r="R29" s="241" t="e">
        <f>'Tab1EQ 8_1'!P19</f>
        <v>#DIV/0!</v>
      </c>
      <c r="S29" s="241" t="e">
        <f>'Tab1EQ 8_1'!Q19</f>
        <v>#DIV/0!</v>
      </c>
      <c r="T29" s="241" t="e">
        <f>'Tab1EQ 8_1'!R19</f>
        <v>#DIV/0!</v>
      </c>
      <c r="U29" s="241" t="e">
        <f>'Tab1EQ 8_1'!S19</f>
        <v>#DIV/0!</v>
      </c>
      <c r="V29" s="241" t="e">
        <f>'Tab1EQ 8_1'!T19</f>
        <v>#DIV/0!</v>
      </c>
      <c r="W29" s="241" t="e">
        <f>'Tab1EQ 8_1'!U19</f>
        <v>#DIV/0!</v>
      </c>
      <c r="X29" s="241" t="e">
        <f>'Tab1EQ 8_1'!V19</f>
        <v>#DIV/0!</v>
      </c>
      <c r="Y29" s="241" t="e">
        <f>'Tab1EQ 8_1'!W19</f>
        <v>#DIV/0!</v>
      </c>
      <c r="Z29" s="241" t="e">
        <f>'Tab1EQ 8_1'!X19</f>
        <v>#DIV/0!</v>
      </c>
      <c r="AA29" s="241" t="e">
        <f>'Tab1EQ 8_1'!Y19</f>
        <v>#DIV/0!</v>
      </c>
      <c r="AB29" s="255" t="e">
        <f>'Tab1EQ 8_1'!Z19</f>
        <v>#DIV/0!</v>
      </c>
    </row>
    <row r="30" spans="2:28" ht="21" x14ac:dyDescent="0.35">
      <c r="B30" s="89"/>
      <c r="C30" s="240" t="s">
        <v>239</v>
      </c>
      <c r="D30" s="247" t="e">
        <f>'opt 8'!O9</f>
        <v>#DIV/0!</v>
      </c>
      <c r="E30" s="247" t="str">
        <f>'opt 8'!O10</f>
        <v/>
      </c>
      <c r="F30" s="247" t="str">
        <f>'opt 8'!O11</f>
        <v/>
      </c>
      <c r="G30" s="247" t="str">
        <f>'opt 8'!O12</f>
        <v/>
      </c>
      <c r="H30" s="247" t="str">
        <f>'opt 8'!O13</f>
        <v/>
      </c>
      <c r="I30" s="247" t="str">
        <f>'opt 8'!O14</f>
        <v/>
      </c>
      <c r="J30" s="242">
        <f>'opt 8'!O15</f>
        <v>0</v>
      </c>
      <c r="K30" s="242">
        <f>'opt 8'!O16</f>
        <v>0</v>
      </c>
      <c r="L30" s="242">
        <f>'opt 8'!O17</f>
        <v>0</v>
      </c>
      <c r="M30" s="242" t="str">
        <f>'opt 8'!O18</f>
        <v/>
      </c>
      <c r="N30" s="247" t="str">
        <f>'opt 8'!O19</f>
        <v/>
      </c>
      <c r="O30" s="247" t="str">
        <f>'opt 8'!O20</f>
        <v/>
      </c>
      <c r="P30" s="247" t="str">
        <f>'opt 8'!O21</f>
        <v/>
      </c>
      <c r="Q30" s="242">
        <f>'opt 8'!O22</f>
        <v>0</v>
      </c>
      <c r="R30" s="242">
        <f>'opt 8'!O23</f>
        <v>0</v>
      </c>
      <c r="S30" s="242">
        <f>'opt 8'!O24</f>
        <v>0</v>
      </c>
      <c r="T30" s="242">
        <f>'opt 8'!O25</f>
        <v>0</v>
      </c>
      <c r="U30" s="242">
        <f>'opt 8'!O26</f>
        <v>0</v>
      </c>
      <c r="V30" s="242">
        <f>'opt 8'!O27</f>
        <v>0</v>
      </c>
      <c r="W30" s="242">
        <f>'opt 8'!O28</f>
        <v>0</v>
      </c>
      <c r="X30" s="242">
        <f>'opt 8'!O29</f>
        <v>0</v>
      </c>
      <c r="Y30" s="242">
        <f>'opt 8'!O30</f>
        <v>0</v>
      </c>
      <c r="Z30" s="242">
        <f>'opt 8'!O31</f>
        <v>0</v>
      </c>
      <c r="AA30" s="242">
        <f>'opt 8'!O32</f>
        <v>0</v>
      </c>
      <c r="AB30" s="255">
        <f>'opt 8'!O33</f>
        <v>0</v>
      </c>
    </row>
    <row r="31" spans="2:28" ht="21" x14ac:dyDescent="0.35">
      <c r="B31" s="89"/>
      <c r="C31" s="89"/>
      <c r="D31" s="250"/>
      <c r="E31" s="130"/>
      <c r="F31" s="89"/>
      <c r="G31" s="89"/>
      <c r="H31" s="89"/>
      <c r="I31" s="244"/>
      <c r="J31" s="89"/>
      <c r="K31" s="89"/>
      <c r="L31" s="89"/>
      <c r="M31" s="89"/>
      <c r="N31" s="130"/>
      <c r="O31" s="130"/>
      <c r="P31" s="130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258"/>
    </row>
    <row r="32" spans="2:28" ht="21" x14ac:dyDescent="0.35">
      <c r="B32" s="89"/>
      <c r="C32" s="240">
        <v>9</v>
      </c>
      <c r="D32" s="246" t="e">
        <f>'Tab1EQ 9_1'!B19</f>
        <v>#DIV/0!</v>
      </c>
      <c r="E32" s="246" t="e">
        <f>'Tab1EQ 9_1'!C19</f>
        <v>#DIV/0!</v>
      </c>
      <c r="F32" s="241" t="e">
        <f>'Tab1EQ 9_1'!D19</f>
        <v>#DIV/0!</v>
      </c>
      <c r="G32" s="241" t="e">
        <f>'Tab1EQ 9_1'!E19</f>
        <v>#DIV/0!</v>
      </c>
      <c r="H32" s="241" t="e">
        <f>'Tab1EQ 9_1'!F19</f>
        <v>#DIV/0!</v>
      </c>
      <c r="I32" s="246" t="e">
        <f>'Tab1EQ 9_1'!G19</f>
        <v>#DIV/0!</v>
      </c>
      <c r="J32" s="241" t="e">
        <f>'Tab1EQ 9_1'!H19</f>
        <v>#DIV/0!</v>
      </c>
      <c r="K32" s="241" t="e">
        <f>'Tab1EQ 9_1'!I19</f>
        <v>#DIV/0!</v>
      </c>
      <c r="L32" s="241" t="e">
        <f>'Tab1EQ 9_1'!J19</f>
        <v>#DIV/0!</v>
      </c>
      <c r="M32" s="241" t="e">
        <f>'Tab1EQ 9_1'!K19</f>
        <v>#DIV/0!</v>
      </c>
      <c r="N32" s="246" t="e">
        <f>'Tab1EQ 9_1'!L19</f>
        <v>#DIV/0!</v>
      </c>
      <c r="O32" s="246" t="e">
        <f>'Tab1EQ 9_1'!M19</f>
        <v>#DIV/0!</v>
      </c>
      <c r="P32" s="246" t="e">
        <f>'Tab1EQ 9_1'!N19</f>
        <v>#DIV/0!</v>
      </c>
      <c r="Q32" s="241" t="e">
        <f>'Tab1EQ 9_1'!O19</f>
        <v>#DIV/0!</v>
      </c>
      <c r="R32" s="241" t="e">
        <f>'Tab1EQ 9_1'!P19</f>
        <v>#DIV/0!</v>
      </c>
      <c r="S32" s="241" t="e">
        <f>'Tab1EQ 9_1'!Q19</f>
        <v>#DIV/0!</v>
      </c>
      <c r="T32" s="241" t="e">
        <f>'Tab1EQ 9_1'!R19</f>
        <v>#DIV/0!</v>
      </c>
      <c r="U32" s="241" t="e">
        <f>'Tab1EQ 9_1'!S19</f>
        <v>#DIV/0!</v>
      </c>
      <c r="V32" s="241" t="e">
        <f>'Tab1EQ 9_1'!T19</f>
        <v>#DIV/0!</v>
      </c>
      <c r="W32" s="241" t="e">
        <f>'Tab1EQ 9_1'!U19</f>
        <v>#DIV/0!</v>
      </c>
      <c r="X32" s="241" t="e">
        <f>'Tab1EQ 9_1'!V19</f>
        <v>#DIV/0!</v>
      </c>
      <c r="Y32" s="241" t="e">
        <f>'Tab1EQ 9_1'!W19</f>
        <v>#DIV/0!</v>
      </c>
      <c r="Z32" s="241" t="e">
        <f>'Tab1EQ 9_1'!X19</f>
        <v>#DIV/0!</v>
      </c>
      <c r="AA32" s="241" t="e">
        <f>'Tab1EQ 9_1'!Y19</f>
        <v>#DIV/0!</v>
      </c>
      <c r="AB32" s="255" t="e">
        <f>'Tab1EQ 9_1'!Z19</f>
        <v>#DIV/0!</v>
      </c>
    </row>
    <row r="33" spans="2:28" ht="21" x14ac:dyDescent="0.35">
      <c r="B33" s="89"/>
      <c r="C33" s="240" t="s">
        <v>239</v>
      </c>
      <c r="D33" s="247" t="e">
        <f>'opt 9'!O9</f>
        <v>#DIV/0!</v>
      </c>
      <c r="E33" s="247" t="str">
        <f>'opt 9'!O10</f>
        <v/>
      </c>
      <c r="F33" s="247" t="str">
        <f>'opt 9'!O11</f>
        <v/>
      </c>
      <c r="G33" s="247" t="str">
        <f>'opt 9'!O12</f>
        <v/>
      </c>
      <c r="H33" s="247" t="str">
        <f>'opt 9'!O13</f>
        <v/>
      </c>
      <c r="I33" s="247" t="str">
        <f>'opt 9'!O14</f>
        <v/>
      </c>
      <c r="J33" s="242">
        <f>'opt 9'!O15</f>
        <v>0</v>
      </c>
      <c r="K33" s="242">
        <f>'opt 9'!O16</f>
        <v>0</v>
      </c>
      <c r="L33" s="242">
        <f>'opt 9'!O17</f>
        <v>0</v>
      </c>
      <c r="M33" s="242" t="str">
        <f>'opt 9'!O18</f>
        <v/>
      </c>
      <c r="N33" s="247" t="str">
        <f>'opt 9'!O19</f>
        <v/>
      </c>
      <c r="O33" s="247" t="str">
        <f>'opt 9'!O20</f>
        <v/>
      </c>
      <c r="P33" s="247" t="str">
        <f>'opt 9'!O21</f>
        <v/>
      </c>
      <c r="Q33" s="242">
        <f>'opt 9'!O22</f>
        <v>0</v>
      </c>
      <c r="R33" s="242">
        <f>'opt 9'!O23</f>
        <v>0</v>
      </c>
      <c r="S33" s="242">
        <f>'opt 9'!O24</f>
        <v>0</v>
      </c>
      <c r="T33" s="242">
        <f>'opt 9'!O25</f>
        <v>0</v>
      </c>
      <c r="U33" s="242">
        <f>'opt 9'!O26</f>
        <v>0</v>
      </c>
      <c r="V33" s="242">
        <f>'opt 9'!O27</f>
        <v>0</v>
      </c>
      <c r="W33" s="242">
        <f>'opt 9'!O28</f>
        <v>0</v>
      </c>
      <c r="X33" s="242">
        <f>'opt 9'!O29</f>
        <v>0</v>
      </c>
      <c r="Y33" s="242">
        <f>'opt 9'!O30</f>
        <v>0</v>
      </c>
      <c r="Z33" s="242">
        <f>'opt 9'!O31</f>
        <v>0</v>
      </c>
      <c r="AA33" s="242">
        <f>'opt 9'!O32</f>
        <v>0</v>
      </c>
      <c r="AB33" s="255">
        <f>'opt 9'!O33</f>
        <v>0</v>
      </c>
    </row>
    <row r="34" spans="2:28" ht="21" x14ac:dyDescent="0.35">
      <c r="B34" s="89"/>
      <c r="C34" s="89"/>
      <c r="D34" s="250"/>
      <c r="E34" s="130"/>
      <c r="F34" s="89"/>
      <c r="G34" s="89"/>
      <c r="H34" s="89"/>
      <c r="I34" s="89"/>
      <c r="J34" s="89"/>
      <c r="K34" s="89"/>
      <c r="L34" s="89"/>
      <c r="M34" s="89"/>
      <c r="N34" s="130"/>
      <c r="O34" s="130"/>
      <c r="P34" s="130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258"/>
    </row>
    <row r="35" spans="2:28" ht="21" x14ac:dyDescent="0.35">
      <c r="B35" s="89"/>
      <c r="C35" s="240">
        <v>10</v>
      </c>
      <c r="D35" s="246" t="e">
        <f>'Tab1EQ 10_1'!B19</f>
        <v>#DIV/0!</v>
      </c>
      <c r="E35" s="246" t="e">
        <f>'Tab1EQ 10_1'!C19</f>
        <v>#DIV/0!</v>
      </c>
      <c r="F35" s="241" t="e">
        <f>'Tab1EQ 10_1'!D19</f>
        <v>#DIV/0!</v>
      </c>
      <c r="G35" s="241" t="e">
        <f>'Tab1EQ 10_1'!E19</f>
        <v>#DIV/0!</v>
      </c>
      <c r="H35" s="241" t="e">
        <f>'Tab1EQ 10_1'!F19</f>
        <v>#DIV/0!</v>
      </c>
      <c r="I35" s="241" t="e">
        <f>'Tab1EQ 10_1'!G19</f>
        <v>#DIV/0!</v>
      </c>
      <c r="J35" s="241" t="e">
        <f>'Tab1EQ 10_1'!H19</f>
        <v>#DIV/0!</v>
      </c>
      <c r="K35" s="241" t="e">
        <f>'Tab1EQ 10_1'!I19</f>
        <v>#DIV/0!</v>
      </c>
      <c r="L35" s="241" t="e">
        <f>'Tab1EQ 10_1'!J19</f>
        <v>#DIV/0!</v>
      </c>
      <c r="M35" s="241" t="e">
        <f>'Tab1EQ 10_1'!K19</f>
        <v>#DIV/0!</v>
      </c>
      <c r="N35" s="246" t="e">
        <f>'Tab1EQ 10_1'!L19</f>
        <v>#DIV/0!</v>
      </c>
      <c r="O35" s="246" t="e">
        <f>'Tab1EQ 10_1'!M19</f>
        <v>#DIV/0!</v>
      </c>
      <c r="P35" s="246" t="e">
        <f>'Tab1EQ 10_1'!N19</f>
        <v>#DIV/0!</v>
      </c>
      <c r="Q35" s="241" t="e">
        <f>'Tab1EQ 10_1'!O19</f>
        <v>#DIV/0!</v>
      </c>
      <c r="R35" s="241" t="e">
        <f>'Tab1EQ 10_1'!P19</f>
        <v>#DIV/0!</v>
      </c>
      <c r="S35" s="241" t="e">
        <f>'Tab1EQ 10_1'!Q19</f>
        <v>#DIV/0!</v>
      </c>
      <c r="T35" s="241" t="e">
        <f>'Tab1EQ 10_1'!R19</f>
        <v>#DIV/0!</v>
      </c>
      <c r="U35" s="241" t="e">
        <f>'Tab1EQ 10_1'!S19</f>
        <v>#DIV/0!</v>
      </c>
      <c r="V35" s="241" t="e">
        <f>'Tab1EQ 10_1'!T19</f>
        <v>#DIV/0!</v>
      </c>
      <c r="W35" s="241" t="e">
        <f>'Tab1EQ 10_1'!U19</f>
        <v>#DIV/0!</v>
      </c>
      <c r="X35" s="241" t="e">
        <f>'Tab1EQ 10_1'!V19</f>
        <v>#DIV/0!</v>
      </c>
      <c r="Y35" s="241" t="e">
        <f>'Tab1EQ 10_1'!W19</f>
        <v>#DIV/0!</v>
      </c>
      <c r="Z35" s="241" t="e">
        <f>'Tab1EQ 10_1'!X19</f>
        <v>#DIV/0!</v>
      </c>
      <c r="AA35" s="241" t="e">
        <f>'Tab1EQ 10_1'!Y19</f>
        <v>#DIV/0!</v>
      </c>
      <c r="AB35" s="255" t="e">
        <f>'Tab1EQ 10_1'!Z19</f>
        <v>#DIV/0!</v>
      </c>
    </row>
    <row r="36" spans="2:28" ht="21" x14ac:dyDescent="0.35">
      <c r="B36" s="89"/>
      <c r="C36" s="240" t="s">
        <v>239</v>
      </c>
      <c r="D36" s="247" t="e">
        <f>'opt 10'!O9</f>
        <v>#DIV/0!</v>
      </c>
      <c r="E36" s="247" t="str">
        <f>'opt 10'!O10</f>
        <v/>
      </c>
      <c r="F36" s="247" t="str">
        <f>'opt 10'!O11</f>
        <v/>
      </c>
      <c r="G36" s="247" t="str">
        <f>'opt 10'!O12</f>
        <v/>
      </c>
      <c r="H36" s="247">
        <f>'opt 10'!O13</f>
        <v>0</v>
      </c>
      <c r="I36" s="247" t="str">
        <f>'opt 10'!O14</f>
        <v/>
      </c>
      <c r="J36" s="242">
        <f>'opt 10'!O15</f>
        <v>0</v>
      </c>
      <c r="K36" s="242">
        <f>'opt 10'!O16</f>
        <v>0</v>
      </c>
      <c r="L36" s="242">
        <f>'opt 10'!O17</f>
        <v>0</v>
      </c>
      <c r="M36" s="242" t="str">
        <f>'opt 10'!O18</f>
        <v/>
      </c>
      <c r="N36" s="247" t="str">
        <f>'opt 10'!O19</f>
        <v/>
      </c>
      <c r="O36" s="247" t="str">
        <f>'opt 10'!O20</f>
        <v/>
      </c>
      <c r="P36" s="247" t="str">
        <f>'opt 10'!O21</f>
        <v/>
      </c>
      <c r="Q36" s="242">
        <f>'opt 10'!O22</f>
        <v>0</v>
      </c>
      <c r="R36" s="242">
        <f>'opt 10'!O23</f>
        <v>0</v>
      </c>
      <c r="S36" s="242">
        <f>'opt 10'!O24</f>
        <v>0</v>
      </c>
      <c r="T36" s="242">
        <f>'opt 10'!O25</f>
        <v>0</v>
      </c>
      <c r="U36" s="242">
        <f>'opt 10'!O26</f>
        <v>0</v>
      </c>
      <c r="V36" s="242">
        <f>'opt 10'!O27</f>
        <v>0</v>
      </c>
      <c r="W36" s="242">
        <f>'opt 10'!O28</f>
        <v>0</v>
      </c>
      <c r="X36" s="242">
        <f>'opt 10'!O29</f>
        <v>0</v>
      </c>
      <c r="Y36" s="242">
        <f>'opt 10'!O30</f>
        <v>0</v>
      </c>
      <c r="Z36" s="242">
        <f>'opt 10'!O31</f>
        <v>0</v>
      </c>
      <c r="AA36" s="242">
        <f>'opt 10'!O32</f>
        <v>0</v>
      </c>
      <c r="AB36" s="255">
        <f>'opt 10'!O33</f>
        <v>0</v>
      </c>
    </row>
    <row r="37" spans="2:28" ht="23.25" x14ac:dyDescent="0.35">
      <c r="B37" s="89"/>
      <c r="C37" s="89"/>
      <c r="D37" s="249"/>
      <c r="E37" s="249"/>
      <c r="F37" s="227"/>
      <c r="G37" s="227"/>
      <c r="H37" s="227"/>
      <c r="I37" s="249"/>
      <c r="J37" s="227"/>
      <c r="K37" s="227"/>
      <c r="L37" s="227"/>
      <c r="M37" s="227"/>
      <c r="N37" s="249"/>
      <c r="O37" s="249"/>
      <c r="P37" s="249"/>
      <c r="Q37" s="227"/>
      <c r="R37" s="227"/>
      <c r="S37" s="227"/>
      <c r="T37" s="227"/>
      <c r="U37" s="227"/>
      <c r="V37" s="227"/>
      <c r="W37" s="227"/>
      <c r="X37" s="227"/>
      <c r="Y37" s="227"/>
      <c r="Z37" s="227"/>
      <c r="AA37" s="227"/>
      <c r="AB37" s="259"/>
    </row>
    <row r="38" spans="2:28" ht="21" x14ac:dyDescent="0.35">
      <c r="B38" s="89"/>
      <c r="C38" s="240">
        <v>11</v>
      </c>
      <c r="D38" s="241" t="e">
        <f>'Tab1EQ 11_1'!B19</f>
        <v>#DIV/0!</v>
      </c>
      <c r="E38" s="241" t="e">
        <f>'Tab1EQ 11_1'!C19</f>
        <v>#DIV/0!</v>
      </c>
      <c r="F38" s="241" t="e">
        <f>'Tab1EQ 11_1'!D19</f>
        <v>#DIV/0!</v>
      </c>
      <c r="G38" s="241" t="e">
        <f>'Tab1EQ 11_1'!E19</f>
        <v>#DIV/0!</v>
      </c>
      <c r="H38" s="241" t="e">
        <f>'Tab1EQ 11_1'!F19</f>
        <v>#DIV/0!</v>
      </c>
      <c r="I38" s="241" t="e">
        <f>'Tab1EQ 11_1'!G19</f>
        <v>#DIV/0!</v>
      </c>
      <c r="J38" s="241" t="e">
        <f>'Tab1EQ 11_1'!H19</f>
        <v>#DIV/0!</v>
      </c>
      <c r="K38" s="241" t="e">
        <f>'Tab1EQ 11_1'!I19</f>
        <v>#DIV/0!</v>
      </c>
      <c r="L38" s="241" t="e">
        <f>'Tab1EQ 11_1'!J19</f>
        <v>#DIV/0!</v>
      </c>
      <c r="M38" s="241" t="e">
        <f>'Tab1EQ 11_1'!K19</f>
        <v>#DIV/0!</v>
      </c>
      <c r="N38" s="246" t="e">
        <f>'Tab1EQ 11_1'!L19</f>
        <v>#DIV/0!</v>
      </c>
      <c r="O38" s="246" t="e">
        <f>'Tab1EQ 11_1'!M19</f>
        <v>#DIV/0!</v>
      </c>
      <c r="P38" s="246" t="e">
        <f>'Tab1EQ 11_1'!N19</f>
        <v>#DIV/0!</v>
      </c>
      <c r="Q38" s="241" t="e">
        <f>'Tab1EQ 11_1'!O19</f>
        <v>#DIV/0!</v>
      </c>
      <c r="R38" s="241" t="e">
        <f>'Tab1EQ 11_1'!P19</f>
        <v>#DIV/0!</v>
      </c>
      <c r="S38" s="241" t="e">
        <f>'Tab1EQ 11_1'!Q19</f>
        <v>#DIV/0!</v>
      </c>
      <c r="T38" s="241" t="e">
        <f>'Tab1EQ 11_1'!R19</f>
        <v>#DIV/0!</v>
      </c>
      <c r="U38" s="241" t="e">
        <f>'Tab1EQ 11_1'!S19</f>
        <v>#DIV/0!</v>
      </c>
      <c r="V38" s="241" t="e">
        <f>'Tab1EQ 11_1'!T19</f>
        <v>#DIV/0!</v>
      </c>
      <c r="W38" s="241" t="e">
        <f>'Tab1EQ 11_1'!U19</f>
        <v>#DIV/0!</v>
      </c>
      <c r="X38" s="241" t="e">
        <f>'Tab1EQ 11_1'!V19</f>
        <v>#DIV/0!</v>
      </c>
      <c r="Y38" s="241" t="e">
        <f>'Tab1EQ 11_1'!W19</f>
        <v>#DIV/0!</v>
      </c>
      <c r="Z38" s="241" t="e">
        <f>'Tab1EQ 11_1'!X19</f>
        <v>#DIV/0!</v>
      </c>
      <c r="AA38" s="241" t="e">
        <f>'Tab1EQ 11_1'!Y19</f>
        <v>#DIV/0!</v>
      </c>
      <c r="AB38" s="255" t="e">
        <f>'Tab1EQ 11_1'!Z19</f>
        <v>#DIV/0!</v>
      </c>
    </row>
    <row r="39" spans="2:28" ht="21" x14ac:dyDescent="0.35">
      <c r="B39" s="89"/>
      <c r="C39" s="240" t="s">
        <v>239</v>
      </c>
      <c r="D39" s="247" t="e">
        <f>'opt 11'!O9</f>
        <v>#DIV/0!</v>
      </c>
      <c r="E39" s="247" t="str">
        <f>'opt 11'!O10</f>
        <v/>
      </c>
      <c r="F39" s="247" t="str">
        <f>'opt 11'!O11</f>
        <v/>
      </c>
      <c r="G39" s="247" t="str">
        <f>'opt 11'!O12</f>
        <v/>
      </c>
      <c r="H39" s="247" t="str">
        <f>'opt 11'!O13</f>
        <v/>
      </c>
      <c r="I39" s="247" t="str">
        <f>'opt 11'!O14</f>
        <v/>
      </c>
      <c r="J39" s="242">
        <f>'opt 11'!O15</f>
        <v>0</v>
      </c>
      <c r="K39" s="242">
        <f>'opt 11'!O16</f>
        <v>0</v>
      </c>
      <c r="L39" s="242">
        <f>'opt 11'!O17</f>
        <v>0</v>
      </c>
      <c r="M39" s="242" t="str">
        <f>'opt 11'!O18</f>
        <v/>
      </c>
      <c r="N39" s="247" t="str">
        <f>'opt 11'!O19</f>
        <v/>
      </c>
      <c r="O39" s="247" t="str">
        <f>'opt 11'!O20</f>
        <v/>
      </c>
      <c r="P39" s="247" t="str">
        <f>'opt 11'!O21</f>
        <v/>
      </c>
      <c r="Q39" s="242">
        <f>'opt 11'!O22</f>
        <v>0</v>
      </c>
      <c r="R39" s="242">
        <f>'opt 11'!O23</f>
        <v>0</v>
      </c>
      <c r="S39" s="242">
        <f>'opt 11'!O24</f>
        <v>0</v>
      </c>
      <c r="T39" s="242">
        <f>'opt 11'!O25</f>
        <v>0</v>
      </c>
      <c r="U39" s="242">
        <f>'opt 11'!O26</f>
        <v>0</v>
      </c>
      <c r="V39" s="242">
        <f>'opt 11'!O27</f>
        <v>0</v>
      </c>
      <c r="W39" s="242">
        <f>'opt 11'!O28</f>
        <v>0</v>
      </c>
      <c r="X39" s="242">
        <f>'opt 11'!O29</f>
        <v>0</v>
      </c>
      <c r="Y39" s="242">
        <f>'opt 11'!O30</f>
        <v>0</v>
      </c>
      <c r="Z39" s="242">
        <f>'opt 11'!O31</f>
        <v>0</v>
      </c>
      <c r="AA39" s="242">
        <f>'opt 11'!O32</f>
        <v>0</v>
      </c>
      <c r="AB39" s="255">
        <f>'opt 11'!O33</f>
        <v>0</v>
      </c>
    </row>
    <row r="40" spans="2:28" ht="21" x14ac:dyDescent="0.35"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130"/>
      <c r="O40" s="130"/>
      <c r="P40" s="130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258"/>
    </row>
    <row r="41" spans="2:28" ht="21" x14ac:dyDescent="0.35">
      <c r="B41" s="89"/>
      <c r="C41" s="240">
        <v>12</v>
      </c>
      <c r="D41" s="241" t="e">
        <f>'Tab1EQ 12_1'!B19</f>
        <v>#DIV/0!</v>
      </c>
      <c r="E41" s="241" t="e">
        <f>'Tab1EQ 12_1'!C19</f>
        <v>#DIV/0!</v>
      </c>
      <c r="F41" s="241" t="e">
        <f>'Tab1EQ 12_1'!D19</f>
        <v>#DIV/0!</v>
      </c>
      <c r="G41" s="241" t="e">
        <f>'Tab1EQ 12_1'!E19</f>
        <v>#DIV/0!</v>
      </c>
      <c r="H41" s="241" t="e">
        <f>'Tab1EQ 12_1'!F19</f>
        <v>#DIV/0!</v>
      </c>
      <c r="I41" s="241" t="e">
        <f>'Tab1EQ 12_1'!G19</f>
        <v>#DIV/0!</v>
      </c>
      <c r="J41" s="241" t="e">
        <f>'Tab1EQ 12_1'!H19</f>
        <v>#DIV/0!</v>
      </c>
      <c r="K41" s="241" t="e">
        <f>'Tab1EQ 12_1'!I19</f>
        <v>#DIV/0!</v>
      </c>
      <c r="L41" s="241" t="e">
        <f>'Tab1EQ 12_1'!J19</f>
        <v>#DIV/0!</v>
      </c>
      <c r="M41" s="241" t="e">
        <f>'Tab1EQ 12_1'!K19</f>
        <v>#DIV/0!</v>
      </c>
      <c r="N41" s="246" t="e">
        <f>'Tab1EQ 12_1'!L19</f>
        <v>#DIV/0!</v>
      </c>
      <c r="O41" s="246" t="e">
        <f>'Tab1EQ 12_1'!M19</f>
        <v>#DIV/0!</v>
      </c>
      <c r="P41" s="246" t="e">
        <f>'Tab1EQ 12_1'!N19</f>
        <v>#DIV/0!</v>
      </c>
      <c r="Q41" s="241" t="e">
        <f>'Tab1EQ 12_1'!O19</f>
        <v>#DIV/0!</v>
      </c>
      <c r="R41" s="241" t="e">
        <f>'Tab1EQ 12_1'!P19</f>
        <v>#DIV/0!</v>
      </c>
      <c r="S41" s="241" t="e">
        <f>'Tab1EQ 12_1'!Q19</f>
        <v>#DIV/0!</v>
      </c>
      <c r="T41" s="241" t="e">
        <f>'Tab1EQ 12_1'!R19</f>
        <v>#DIV/0!</v>
      </c>
      <c r="U41" s="241" t="e">
        <f>'Tab1EQ 12_1'!S19</f>
        <v>#DIV/0!</v>
      </c>
      <c r="V41" s="241" t="e">
        <f>'Tab1EQ 12_1'!T19</f>
        <v>#DIV/0!</v>
      </c>
      <c r="W41" s="241" t="e">
        <f>'Tab1EQ 12_1'!U19</f>
        <v>#DIV/0!</v>
      </c>
      <c r="X41" s="241" t="e">
        <f>'Tab1EQ 12_1'!V19</f>
        <v>#DIV/0!</v>
      </c>
      <c r="Y41" s="241" t="e">
        <f>'Tab1EQ 12_1'!W19</f>
        <v>#DIV/0!</v>
      </c>
      <c r="Z41" s="241" t="e">
        <f>'Tab1EQ 12_1'!X19</f>
        <v>#DIV/0!</v>
      </c>
      <c r="AA41" s="241" t="e">
        <f>'Tab1EQ 12_1'!Y19</f>
        <v>#DIV/0!</v>
      </c>
      <c r="AB41" s="255" t="e">
        <f>'Tab1EQ 12_1'!Z19</f>
        <v>#DIV/0!</v>
      </c>
    </row>
    <row r="42" spans="2:28" ht="21" x14ac:dyDescent="0.35">
      <c r="B42" s="89"/>
      <c r="C42" s="240" t="s">
        <v>239</v>
      </c>
      <c r="D42" s="247" t="e">
        <f>'opt 12'!O9</f>
        <v>#DIV/0!</v>
      </c>
      <c r="E42" s="247" t="str">
        <f>'opt 12'!O10</f>
        <v/>
      </c>
      <c r="F42" s="247" t="str">
        <f>'opt 12'!O11</f>
        <v/>
      </c>
      <c r="G42" s="247" t="str">
        <f>'opt 12'!O12</f>
        <v/>
      </c>
      <c r="H42" s="247" t="str">
        <f>'opt 12'!O13</f>
        <v/>
      </c>
      <c r="I42" s="247" t="str">
        <f>'opt 12'!O14</f>
        <v/>
      </c>
      <c r="J42" s="242">
        <f>'opt 12'!O15</f>
        <v>0</v>
      </c>
      <c r="K42" s="242">
        <f>'opt 12'!O16</f>
        <v>0</v>
      </c>
      <c r="L42" s="242">
        <f>'opt 12'!O17</f>
        <v>0</v>
      </c>
      <c r="M42" s="242" t="str">
        <f>'opt 12'!O18</f>
        <v/>
      </c>
      <c r="N42" s="247" t="str">
        <f>'opt 12'!O19</f>
        <v/>
      </c>
      <c r="O42" s="247" t="str">
        <f>'opt 12'!O20</f>
        <v/>
      </c>
      <c r="P42" s="247" t="str">
        <f>'opt 12'!O21</f>
        <v/>
      </c>
      <c r="Q42" s="242">
        <f>'opt 12'!O22</f>
        <v>0</v>
      </c>
      <c r="R42" s="242">
        <f>'opt 12'!O23</f>
        <v>0</v>
      </c>
      <c r="S42" s="242">
        <f>'opt 12'!O24</f>
        <v>0</v>
      </c>
      <c r="T42" s="242">
        <f>'opt 12'!O25</f>
        <v>0</v>
      </c>
      <c r="U42" s="242">
        <f>'opt 12'!O26</f>
        <v>0</v>
      </c>
      <c r="V42" s="242">
        <f>'opt 12'!O27</f>
        <v>0</v>
      </c>
      <c r="W42" s="242">
        <f>'opt 12'!O28</f>
        <v>0</v>
      </c>
      <c r="X42" s="242">
        <f>'opt 12'!O29</f>
        <v>0</v>
      </c>
      <c r="Y42" s="242">
        <f>'opt 12'!O30</f>
        <v>0</v>
      </c>
      <c r="Z42" s="242">
        <f>'opt 12'!O31</f>
        <v>0</v>
      </c>
      <c r="AA42" s="242">
        <f>'opt 12'!O32</f>
        <v>0</v>
      </c>
      <c r="AB42" s="255">
        <f>'opt 12'!O33</f>
        <v>0</v>
      </c>
    </row>
    <row r="43" spans="2:28" x14ac:dyDescent="0.25">
      <c r="AB43" s="257"/>
    </row>
    <row r="44" spans="2:28" ht="21" x14ac:dyDescent="0.35">
      <c r="C44" s="240">
        <v>13</v>
      </c>
      <c r="D44" s="241" t="e">
        <f>'Tab1EQ 13_1'!B19</f>
        <v>#DIV/0!</v>
      </c>
      <c r="E44" s="241" t="e">
        <f>'Tab1EQ 13_1'!C19</f>
        <v>#DIV/0!</v>
      </c>
      <c r="F44" s="241" t="e">
        <f>'Tab1EQ 13_1'!D19</f>
        <v>#DIV/0!</v>
      </c>
      <c r="G44" s="241" t="e">
        <f>'Tab1EQ 13_1'!E19</f>
        <v>#DIV/0!</v>
      </c>
      <c r="H44" s="241" t="e">
        <f>'Tab1EQ 13_1'!F19</f>
        <v>#DIV/0!</v>
      </c>
      <c r="I44" s="241" t="e">
        <f>'Tab1EQ 13_1'!G19</f>
        <v>#DIV/0!</v>
      </c>
      <c r="J44" s="241" t="e">
        <f>'Tab1EQ 13_1'!H19</f>
        <v>#DIV/0!</v>
      </c>
      <c r="K44" s="241" t="e">
        <f>'Tab1EQ 13_1'!I19</f>
        <v>#DIV/0!</v>
      </c>
      <c r="L44" s="241" t="e">
        <f>'Tab1EQ 13_1'!J19</f>
        <v>#DIV/0!</v>
      </c>
      <c r="M44" s="241" t="e">
        <f>'Tab1EQ 13_1'!K19</f>
        <v>#DIV/0!</v>
      </c>
      <c r="N44" s="241" t="e">
        <f>'Tab1EQ 13_1'!L19</f>
        <v>#DIV/0!</v>
      </c>
      <c r="O44" s="241" t="e">
        <f>'Tab1EQ 13_1'!M19</f>
        <v>#DIV/0!</v>
      </c>
      <c r="P44" s="241" t="e">
        <f>'Tab1EQ 13_1'!N19</f>
        <v>#DIV/0!</v>
      </c>
      <c r="Q44" s="241" t="e">
        <f>'Tab1EQ 13_1'!O19</f>
        <v>#DIV/0!</v>
      </c>
      <c r="R44" s="241" t="e">
        <f>'Tab1EQ 13_1'!P19</f>
        <v>#DIV/0!</v>
      </c>
      <c r="S44" s="241" t="e">
        <f>'Tab1EQ 13_1'!Q19</f>
        <v>#DIV/0!</v>
      </c>
      <c r="T44" s="241" t="e">
        <f>'Tab1EQ 13_1'!R19</f>
        <v>#DIV/0!</v>
      </c>
      <c r="U44" s="241" t="e">
        <f>'Tab1EQ 13_1'!S19</f>
        <v>#DIV/0!</v>
      </c>
      <c r="V44" s="241" t="e">
        <f>'Tab1EQ 13_1'!T19</f>
        <v>#DIV/0!</v>
      </c>
      <c r="W44" s="241" t="e">
        <f>'Tab1EQ 13_1'!U19</f>
        <v>#DIV/0!</v>
      </c>
      <c r="X44" s="241" t="e">
        <f>'Tab1EQ 13_1'!V19</f>
        <v>#DIV/0!</v>
      </c>
      <c r="Y44" s="241" t="e">
        <f>'Tab1EQ 13_1'!W19</f>
        <v>#DIV/0!</v>
      </c>
      <c r="Z44" s="241" t="e">
        <f>'Tab1EQ 13_1'!X19</f>
        <v>#DIV/0!</v>
      </c>
      <c r="AA44" s="241" t="e">
        <f>'Tab1EQ 13_1'!Y19</f>
        <v>#DIV/0!</v>
      </c>
      <c r="AB44" s="255" t="e">
        <f>'Tab1EQ 13_1'!Z19</f>
        <v>#DIV/0!</v>
      </c>
    </row>
    <row r="45" spans="2:28" ht="21" x14ac:dyDescent="0.35">
      <c r="C45" s="240" t="s">
        <v>239</v>
      </c>
      <c r="D45" s="247" t="e">
        <f>'opt 13'!O9</f>
        <v>#DIV/0!</v>
      </c>
      <c r="E45" s="247" t="str">
        <f>'opt 13'!O10</f>
        <v/>
      </c>
      <c r="F45" s="247" t="str">
        <f>'opt 13'!O11</f>
        <v/>
      </c>
      <c r="G45" s="247" t="str">
        <f>'opt 13'!O12</f>
        <v/>
      </c>
      <c r="H45" s="247">
        <f>'opt 13'!O13</f>
        <v>0</v>
      </c>
      <c r="I45" s="247" t="str">
        <f>'opt 13'!O14</f>
        <v/>
      </c>
      <c r="J45" s="247">
        <f>'opt 13'!O15</f>
        <v>0</v>
      </c>
      <c r="K45" s="247">
        <f>'opt 13'!O16</f>
        <v>0</v>
      </c>
      <c r="L45" s="247">
        <f>'opt 13'!O17</f>
        <v>0</v>
      </c>
      <c r="M45" s="247" t="str">
        <f>'opt 13'!O18</f>
        <v/>
      </c>
      <c r="N45" s="247" t="str">
        <f>'opt 13'!O19</f>
        <v/>
      </c>
      <c r="O45" s="247" t="str">
        <f>'opt 13'!O20</f>
        <v/>
      </c>
      <c r="P45" s="247" t="str">
        <f>'opt 13'!O21</f>
        <v/>
      </c>
      <c r="Q45" s="247">
        <f>'opt 13'!O22</f>
        <v>0</v>
      </c>
      <c r="R45" s="247">
        <f>'opt 13'!O23</f>
        <v>0</v>
      </c>
      <c r="S45" s="247">
        <f>'opt 13'!O24</f>
        <v>0</v>
      </c>
      <c r="T45" s="247">
        <f>'opt 13'!O25</f>
        <v>0</v>
      </c>
      <c r="U45" s="247">
        <f>'opt 13'!O26</f>
        <v>0</v>
      </c>
      <c r="V45" s="247">
        <f>'opt 13'!O27</f>
        <v>0</v>
      </c>
      <c r="W45" s="247">
        <f>'opt 13'!O28</f>
        <v>0</v>
      </c>
      <c r="X45" s="247">
        <f>'opt 13'!O29</f>
        <v>0</v>
      </c>
      <c r="Y45" s="247">
        <f>'opt 13'!O30</f>
        <v>0</v>
      </c>
      <c r="Z45" s="247">
        <f>'opt 13'!O31</f>
        <v>0</v>
      </c>
      <c r="AA45" s="247">
        <f>'opt 13'!O32</f>
        <v>0</v>
      </c>
      <c r="AB45" s="260">
        <f>'opt 13'!O33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83AC-BEA1-418F-B43E-780762E822FD}">
  <dimension ref="A1:AY56"/>
  <sheetViews>
    <sheetView topLeftCell="A4" zoomScale="106" zoomScaleNormal="106" workbookViewId="0">
      <selection activeCell="S23" sqref="S23"/>
    </sheetView>
  </sheetViews>
  <sheetFormatPr baseColWidth="10" defaultRowHeight="15" x14ac:dyDescent="0.25"/>
  <cols>
    <col min="1" max="1" width="15.85546875" customWidth="1"/>
    <col min="4" max="4" width="13.5703125" customWidth="1"/>
    <col min="5" max="5" width="12.5703125" customWidth="1"/>
    <col min="6" max="6" width="13.5703125" customWidth="1"/>
  </cols>
  <sheetData>
    <row r="1" spans="1:51" ht="18.75" x14ac:dyDescent="0.3">
      <c r="A1" s="66" t="s">
        <v>14</v>
      </c>
      <c r="B1" s="66" t="s">
        <v>15</v>
      </c>
      <c r="C1" s="66" t="s">
        <v>8</v>
      </c>
      <c r="D1" s="66" t="s">
        <v>9</v>
      </c>
      <c r="E1" s="66" t="s">
        <v>234</v>
      </c>
      <c r="F1" s="66" t="s">
        <v>56</v>
      </c>
      <c r="G1" s="66" t="s">
        <v>57</v>
      </c>
      <c r="H1" s="66" t="s">
        <v>58</v>
      </c>
      <c r="I1" s="66" t="s">
        <v>77</v>
      </c>
      <c r="J1" s="66" t="s">
        <v>204</v>
      </c>
      <c r="K1" s="66" t="s">
        <v>16</v>
      </c>
      <c r="L1" s="66" t="s">
        <v>12</v>
      </c>
      <c r="M1" s="66" t="s">
        <v>44</v>
      </c>
      <c r="N1" s="66" t="s">
        <v>55</v>
      </c>
      <c r="O1" s="66" t="s">
        <v>17</v>
      </c>
      <c r="P1" s="66" t="s">
        <v>80</v>
      </c>
      <c r="Q1" s="66" t="s">
        <v>81</v>
      </c>
      <c r="R1" s="66" t="s">
        <v>82</v>
      </c>
      <c r="S1" s="66" t="s">
        <v>83</v>
      </c>
      <c r="T1" s="66" t="s">
        <v>45</v>
      </c>
      <c r="U1" s="66" t="s">
        <v>43</v>
      </c>
      <c r="V1" s="66" t="s">
        <v>13</v>
      </c>
      <c r="W1" s="66" t="s">
        <v>0</v>
      </c>
      <c r="X1" s="66" t="s">
        <v>11</v>
      </c>
      <c r="Y1" s="66" t="s">
        <v>10</v>
      </c>
      <c r="Z1" s="211" t="s">
        <v>14</v>
      </c>
      <c r="AA1" s="212" t="s">
        <v>15</v>
      </c>
      <c r="AB1" s="213" t="s">
        <v>8</v>
      </c>
      <c r="AC1" s="214" t="s">
        <v>9</v>
      </c>
      <c r="AD1" s="213" t="s">
        <v>234</v>
      </c>
      <c r="AE1" s="213" t="s">
        <v>56</v>
      </c>
      <c r="AF1" s="214" t="s">
        <v>57</v>
      </c>
      <c r="AG1" s="213" t="s">
        <v>58</v>
      </c>
      <c r="AH1" s="215" t="s">
        <v>77</v>
      </c>
      <c r="AI1" s="216" t="s">
        <v>204</v>
      </c>
      <c r="AJ1" s="216" t="s">
        <v>16</v>
      </c>
      <c r="AK1" s="210" t="s">
        <v>13</v>
      </c>
      <c r="AL1" s="215" t="s">
        <v>44</v>
      </c>
      <c r="AM1" s="216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12</v>
      </c>
      <c r="AV1" s="210" t="s">
        <v>0</v>
      </c>
      <c r="AW1" s="210" t="s">
        <v>11</v>
      </c>
      <c r="AX1" s="210" t="s">
        <v>10</v>
      </c>
      <c r="AY1" s="35"/>
    </row>
    <row r="2" spans="1:51" ht="18.75" x14ac:dyDescent="0.3">
      <c r="A2" s="36">
        <f>100-B2-C2-D2-E2-F2-G2-H2-I2-J2-K2-L2-M2-N2-O2-P2-Q2-R2-S2-T2-U2-V2-W2-X2-Y2</f>
        <v>94.328499999999991</v>
      </c>
      <c r="B2" s="37">
        <f>'OK OK'!C4</f>
        <v>0.89</v>
      </c>
      <c r="C2" s="37">
        <f>'OK OK'!D4</f>
        <v>1.43</v>
      </c>
      <c r="D2" s="37">
        <f>'OK OK'!E4</f>
        <v>0</v>
      </c>
      <c r="E2" s="37">
        <f>'OK OK'!F4</f>
        <v>0</v>
      </c>
      <c r="F2" s="37">
        <f>'OK OK'!G4</f>
        <v>0.2</v>
      </c>
      <c r="G2" s="37">
        <f>'OK OK'!H4</f>
        <v>5.0000000000000001E-3</v>
      </c>
      <c r="H2" s="37">
        <f>'OK OK'!I4</f>
        <v>1E-3</v>
      </c>
      <c r="I2" s="37">
        <f>'OK OK'!J4</f>
        <v>1E-3</v>
      </c>
      <c r="J2" s="37">
        <f>'OK OK'!K4</f>
        <v>1.5E-3</v>
      </c>
      <c r="K2" s="37">
        <f>'OK OK'!L4</f>
        <v>1.6</v>
      </c>
      <c r="L2" s="37">
        <f>'OK OK'!M4</f>
        <v>1E-3</v>
      </c>
      <c r="M2" s="37">
        <f>'OK OK'!N4</f>
        <v>1.3</v>
      </c>
      <c r="N2" s="37">
        <f>'OK OK'!O4</f>
        <v>0.19</v>
      </c>
      <c r="O2" s="37">
        <f>'OK OK'!P4</f>
        <v>0</v>
      </c>
      <c r="P2" s="37">
        <f>'OK OK'!Q4</f>
        <v>5.1999999999999998E-2</v>
      </c>
      <c r="Q2" s="37">
        <f>'OK OK'!R4</f>
        <v>0</v>
      </c>
      <c r="R2" s="37">
        <f>'OK OK'!S4</f>
        <v>0</v>
      </c>
      <c r="S2" s="37">
        <f>'OK OK'!T4</f>
        <v>0</v>
      </c>
      <c r="T2" s="37">
        <f>'OK OK'!U4</f>
        <v>0</v>
      </c>
      <c r="U2" s="37">
        <f>'OK OK'!V4</f>
        <v>0</v>
      </c>
      <c r="V2" s="37">
        <f>'OK OK'!W4</f>
        <v>0</v>
      </c>
      <c r="W2" s="37">
        <f>'OK OK'!X4</f>
        <v>0</v>
      </c>
      <c r="X2" s="37">
        <f>'OK OK'!Y4</f>
        <v>0</v>
      </c>
      <c r="Y2" s="37">
        <f>'OK OK'!Z4</f>
        <v>0</v>
      </c>
      <c r="Z2" s="219">
        <v>55.84</v>
      </c>
      <c r="AA2" s="219">
        <v>28.0855</v>
      </c>
      <c r="AB2" s="219">
        <v>58.693399999999997</v>
      </c>
      <c r="AC2" s="219">
        <v>63.545999999999999</v>
      </c>
      <c r="AD2" s="219">
        <v>65.38</v>
      </c>
      <c r="AE2" s="219">
        <v>12.01</v>
      </c>
      <c r="AF2" s="219">
        <v>30.973762000000001</v>
      </c>
      <c r="AG2" s="219">
        <v>32.064999999999998</v>
      </c>
      <c r="AH2" s="219">
        <v>14.0067</v>
      </c>
      <c r="AI2" s="219">
        <v>10.81</v>
      </c>
      <c r="AJ2" s="219">
        <v>54.938043999999998</v>
      </c>
      <c r="AK2" s="219">
        <v>24.305</v>
      </c>
      <c r="AL2" s="219">
        <v>51.996099999999998</v>
      </c>
      <c r="AM2" s="219">
        <v>95.95</v>
      </c>
      <c r="AN2" s="220">
        <v>47.866999999999997</v>
      </c>
      <c r="AO2" s="220">
        <v>50.941499999999998</v>
      </c>
      <c r="AP2" s="220">
        <v>92.906369999999995</v>
      </c>
      <c r="AQ2" s="220">
        <v>183.84</v>
      </c>
      <c r="AR2" s="220">
        <v>180.94788</v>
      </c>
      <c r="AS2" s="220">
        <v>91.224000000000004</v>
      </c>
      <c r="AT2" s="220">
        <v>58.933194999999998</v>
      </c>
      <c r="AU2" s="220">
        <v>26.981539999999999</v>
      </c>
      <c r="AV2" s="219">
        <v>121.76</v>
      </c>
      <c r="AW2" s="219">
        <v>207.2</v>
      </c>
      <c r="AX2" s="219">
        <v>118.71</v>
      </c>
      <c r="AY2" s="7"/>
    </row>
    <row r="3" spans="1:51" ht="18.75" x14ac:dyDescent="0.3">
      <c r="A3" s="36">
        <f>100*((((A2)/(Z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92.840162287943627</v>
      </c>
      <c r="B3" s="36">
        <f>100*((((B2)/(AA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1.741591189035695</v>
      </c>
      <c r="C3" s="36">
        <f>100*((((C2)/(AB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1.3390140731654472</v>
      </c>
      <c r="D3" s="36">
        <f>100*((((D2)/(AC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E3" s="36">
        <f>100*((((E2)/(AD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F3" s="36">
        <f>100*((((F2)/(AE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0.91521970155323784</v>
      </c>
      <c r="G3" s="36">
        <f>100*((((G2)/(AF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8.8718546811123438E-3</v>
      </c>
      <c r="H3" s="36">
        <f>100*((((H2)/(AG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1.7139854382745025E-3</v>
      </c>
      <c r="I3" s="36">
        <f>100*((((I2)/(AH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3.9237609914021089E-3</v>
      </c>
      <c r="J3" s="36">
        <f>100*((((J2)/(AI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7.6261253115085933E-3</v>
      </c>
      <c r="K3" s="36">
        <f>100*((((K2)/(AJ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1.6006086588236572</v>
      </c>
      <c r="L3" s="36">
        <f>100*((((L2)/(AK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2.2612196288118464E-3</v>
      </c>
      <c r="M3" s="36">
        <f>100*((((M2)/(AL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1.3740766327042508</v>
      </c>
      <c r="N3" s="36">
        <f>100*((((N2)/(AM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0.10882959025400381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P3" s="36">
        <f>100*((((P2)/(AO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5.6100920468972061E-2</v>
      </c>
      <c r="Q3" s="36">
        <f>100*((((Q2)/(AP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R3" s="36">
        <f>100*((((R2)/(AQ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S3" s="36">
        <f>100*((((S2)/(AR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T3" s="36">
        <f>100*((((T2)/(AS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U3" s="36">
        <f>100*((((U2)/(AT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V3" s="36">
        <f>100*((((V2)/(AU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W3" s="7">
        <f>100*((((W2)/(AV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X3" s="7">
        <f>100*((((X2)/(AW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Y3" s="7">
        <f>100*((((Y2)/(AX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51" ht="15.75" x14ac:dyDescent="0.25">
      <c r="A4" s="8" t="s">
        <v>18</v>
      </c>
      <c r="B4" s="9">
        <v>111</v>
      </c>
    </row>
    <row r="5" spans="1:51" ht="15.75" x14ac:dyDescent="0.25">
      <c r="A5" s="8" t="s">
        <v>19</v>
      </c>
      <c r="B5" s="9" t="s">
        <v>79</v>
      </c>
      <c r="C5" s="10"/>
    </row>
    <row r="6" spans="1:51" ht="15.75" x14ac:dyDescent="0.25">
      <c r="A6" s="8" t="s">
        <v>20</v>
      </c>
      <c r="B6" s="9">
        <f>'OK OK'!B13</f>
        <v>1000</v>
      </c>
      <c r="D6" s="8" t="s">
        <v>21</v>
      </c>
      <c r="E6" s="11">
        <f>IF(J33&gt;1,J33,"")</f>
        <v>2154.9898566676488</v>
      </c>
      <c r="F6" s="12" t="s">
        <v>22</v>
      </c>
      <c r="G6">
        <f>E6/B6</f>
        <v>2.1549898566676489</v>
      </c>
    </row>
    <row r="7" spans="1:51" ht="15.75" x14ac:dyDescent="0.25">
      <c r="A7" s="3"/>
      <c r="B7" t="s">
        <v>50</v>
      </c>
      <c r="C7" t="s">
        <v>51</v>
      </c>
    </row>
    <row r="8" spans="1:51" ht="18.75" x14ac:dyDescent="0.3">
      <c r="A8" s="3"/>
      <c r="B8" s="13" t="s">
        <v>23</v>
      </c>
      <c r="C8" s="13" t="s">
        <v>24</v>
      </c>
      <c r="D8" s="13" t="s">
        <v>25</v>
      </c>
      <c r="E8" s="19" t="s">
        <v>38</v>
      </c>
      <c r="F8" s="13" t="s">
        <v>25</v>
      </c>
      <c r="G8" s="10"/>
      <c r="H8" s="14" t="s">
        <v>26</v>
      </c>
      <c r="I8" s="14" t="s">
        <v>27</v>
      </c>
      <c r="J8" s="14" t="s">
        <v>28</v>
      </c>
      <c r="K8" s="14" t="s">
        <v>29</v>
      </c>
      <c r="Z8" s="57"/>
      <c r="AA8" s="58"/>
      <c r="AB8" s="59"/>
      <c r="AC8" s="60"/>
      <c r="AD8" s="59"/>
      <c r="AE8" s="59"/>
      <c r="AF8" s="60"/>
      <c r="AG8" s="59"/>
      <c r="AH8" s="61"/>
      <c r="AI8" s="62"/>
      <c r="AJ8" s="62"/>
      <c r="AK8" s="63"/>
      <c r="AL8" s="63"/>
      <c r="AM8" s="62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</row>
    <row r="9" spans="1:51" ht="18.75" x14ac:dyDescent="0.3">
      <c r="A9" s="66" t="s">
        <v>14</v>
      </c>
      <c r="B9" s="15">
        <f>TEOR.EQ_A_G_opt2!A3</f>
        <v>70.562942772392063</v>
      </c>
      <c r="C9" s="15">
        <f>TIG.EQ_At_G_1!A3</f>
        <v>94.332432355284283</v>
      </c>
      <c r="D9" s="16">
        <f>IF(K9&gt;0,K9,"")</f>
        <v>577.29993575840388</v>
      </c>
      <c r="E9" s="13" t="s">
        <v>56</v>
      </c>
      <c r="F9" s="20">
        <f t="shared" ref="F9:F12" si="0">D9</f>
        <v>577.29993575840388</v>
      </c>
      <c r="G9" s="90"/>
      <c r="H9" s="91">
        <f>IF(B9&gt;0,$J$33*B9/100,"")</f>
        <v>1520.6242593112468</v>
      </c>
      <c r="I9" s="91">
        <f>IF(C9&gt;0,$B$6*C9/100,"")</f>
        <v>943.32432355284288</v>
      </c>
      <c r="J9" s="91">
        <f>IF(B9&gt;0,I9/B9*100,"")</f>
        <v>1336.8551345649391</v>
      </c>
      <c r="K9" s="91">
        <f>IF(H9&gt;H41,(H9-I9),"")</f>
        <v>577.29993575840388</v>
      </c>
      <c r="M9">
        <v>1</v>
      </c>
      <c r="N9" s="66" t="s">
        <v>14</v>
      </c>
      <c r="O9" s="17">
        <f>D9</f>
        <v>577.29993575840388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V9" s="7"/>
      <c r="AW9" s="7"/>
      <c r="AX9" s="7"/>
    </row>
    <row r="10" spans="1:51" ht="18" x14ac:dyDescent="0.25">
      <c r="A10" s="66" t="s">
        <v>15</v>
      </c>
      <c r="B10" s="15">
        <f>TEOR.EQ_A_G_opt2!B3</f>
        <v>0.47447336383987132</v>
      </c>
      <c r="C10" s="15">
        <f>TIG.EQ_At_G_1!B3</f>
        <v>0.89003710221410315</v>
      </c>
      <c r="D10" s="16">
        <f>IF(K10&gt;0,K10,"")</f>
        <v>1.3244818411979828</v>
      </c>
      <c r="E10" s="13" t="s">
        <v>16</v>
      </c>
      <c r="F10" s="20"/>
      <c r="G10" s="90"/>
      <c r="H10" s="91">
        <f t="shared" ref="H10:H32" si="1">IF(B10&gt;0,$J$33*B10/100,"")</f>
        <v>10.224852863339015</v>
      </c>
      <c r="I10" s="91">
        <f t="shared" ref="I10:I16" si="2">IF(C10&gt;0,$B$6*C10/100,"")</f>
        <v>8.9003710221410319</v>
      </c>
      <c r="J10" s="91">
        <f>IF(B10&gt;0,I10/B10*100,"")</f>
        <v>1875.8420810203359</v>
      </c>
      <c r="K10" s="91">
        <f>IF(H10&gt;H42,(H10-I10),"")</f>
        <v>1.3244818411979828</v>
      </c>
      <c r="M10">
        <v>2</v>
      </c>
      <c r="N10" s="66" t="s">
        <v>15</v>
      </c>
      <c r="O10" s="17">
        <f>D10</f>
        <v>1.3244818411979828</v>
      </c>
    </row>
    <row r="11" spans="1:51" ht="18" x14ac:dyDescent="0.25">
      <c r="A11" s="66" t="s">
        <v>8</v>
      </c>
      <c r="B11" s="15">
        <f>TEOR.EQ_A_G_opt2!C3</f>
        <v>0</v>
      </c>
      <c r="C11" s="15">
        <f>TIG.EQ_At_G_1!C3</f>
        <v>1.4300596136698511</v>
      </c>
      <c r="D11" s="16" t="str">
        <f t="shared" ref="D11:D32" si="3">IF(K11&gt;0,K11,"")</f>
        <v/>
      </c>
      <c r="E11" s="13" t="s">
        <v>13</v>
      </c>
      <c r="F11" s="20" t="str">
        <f t="shared" si="0"/>
        <v/>
      </c>
      <c r="G11" s="90"/>
      <c r="H11" s="91" t="str">
        <f t="shared" si="1"/>
        <v/>
      </c>
      <c r="I11" s="91">
        <f t="shared" si="2"/>
        <v>14.300596136698511</v>
      </c>
      <c r="J11" s="91" t="str">
        <f>IF(B11&gt;0,I11/B11*100,"")</f>
        <v/>
      </c>
      <c r="K11" s="91" t="str">
        <f t="shared" ref="K11:K31" si="4">IF(H11&gt;H43,(H11-I11),"")</f>
        <v/>
      </c>
      <c r="M11">
        <v>3</v>
      </c>
      <c r="N11" s="66" t="s">
        <v>8</v>
      </c>
      <c r="O11" s="17" t="str">
        <f>D11</f>
        <v/>
      </c>
    </row>
    <row r="12" spans="1:51" ht="18" x14ac:dyDescent="0.25">
      <c r="A12" s="66" t="s">
        <v>9</v>
      </c>
      <c r="B12" s="15">
        <f>TEOR.EQ_A_G_opt2!D3</f>
        <v>0</v>
      </c>
      <c r="C12" s="15">
        <f>TIG.EQ_At_G_1!D3</f>
        <v>0</v>
      </c>
      <c r="D12" s="16" t="str">
        <f t="shared" si="3"/>
        <v/>
      </c>
      <c r="E12" s="13" t="s">
        <v>15</v>
      </c>
      <c r="F12" s="20" t="str">
        <f t="shared" si="0"/>
        <v/>
      </c>
      <c r="G12" s="90"/>
      <c r="H12" s="91" t="str">
        <f t="shared" si="1"/>
        <v/>
      </c>
      <c r="I12" s="91" t="str">
        <f>IF(C12&gt;0,$B$6*C12/100,"")</f>
        <v/>
      </c>
      <c r="J12" s="91" t="str">
        <f>IF(B12&gt;0,I12/B12*100,"")</f>
        <v/>
      </c>
      <c r="K12" s="91" t="str">
        <f t="shared" si="4"/>
        <v/>
      </c>
      <c r="M12">
        <v>4</v>
      </c>
      <c r="N12" s="66" t="s">
        <v>9</v>
      </c>
      <c r="O12" s="17" t="str">
        <f>D12</f>
        <v/>
      </c>
    </row>
    <row r="13" spans="1:51" ht="18" x14ac:dyDescent="0.25">
      <c r="A13" s="66" t="s">
        <v>234</v>
      </c>
      <c r="B13" s="15">
        <f>TEOR.EQ_A_G_opt2!E3</f>
        <v>0</v>
      </c>
      <c r="C13" s="15">
        <f>TIG.EQ_At_G_1!E3</f>
        <v>0</v>
      </c>
      <c r="D13" s="16" t="str">
        <f t="shared" si="3"/>
        <v/>
      </c>
      <c r="E13" s="13" t="s">
        <v>17</v>
      </c>
      <c r="F13" s="20" t="e">
        <f>D13*10</f>
        <v>#VALUE!</v>
      </c>
      <c r="G13" s="90"/>
      <c r="H13" s="91" t="str">
        <f t="shared" si="1"/>
        <v/>
      </c>
      <c r="I13" s="91" t="str">
        <f>IF(C13&gt;0,$B$6*C13/100,"")</f>
        <v/>
      </c>
      <c r="J13" s="91" t="str">
        <f>IF(B13&gt;0,I13/B13*100,"")</f>
        <v/>
      </c>
      <c r="K13" s="91" t="str">
        <f t="shared" si="4"/>
        <v/>
      </c>
      <c r="M13">
        <v>5</v>
      </c>
      <c r="N13" s="66" t="s">
        <v>234</v>
      </c>
      <c r="O13" s="17">
        <f>C13</f>
        <v>0</v>
      </c>
    </row>
    <row r="14" spans="1:51" ht="18" x14ac:dyDescent="0.25">
      <c r="A14" s="66" t="s">
        <v>56</v>
      </c>
      <c r="B14" s="15">
        <f>TEOR.EQ_A_G_opt2!F3</f>
        <v>2.9216970121921522</v>
      </c>
      <c r="C14" s="15">
        <f>TIG.EQ_At_G_1!F3</f>
        <v>0.20533994550961771</v>
      </c>
      <c r="D14" s="16">
        <f t="shared" si="3"/>
        <v>60.908874800206462</v>
      </c>
      <c r="E14" s="13" t="s">
        <v>45</v>
      </c>
      <c r="F14" s="20">
        <f>D14*10</f>
        <v>609.08874800206468</v>
      </c>
      <c r="G14" s="90"/>
      <c r="H14" s="91">
        <f t="shared" si="1"/>
        <v>62.962274255302638</v>
      </c>
      <c r="I14" s="91">
        <f>IF(C14&gt;0,$B$6*C14/100,"")</f>
        <v>2.0533994550961769</v>
      </c>
      <c r="J14" s="91">
        <f>IF(C14&gt;0.14,I14/B14*100,"")</f>
        <v>70.281054008249441</v>
      </c>
      <c r="K14" s="91">
        <f t="shared" si="4"/>
        <v>60.908874800206462</v>
      </c>
      <c r="M14">
        <v>6</v>
      </c>
      <c r="N14" s="66" t="s">
        <v>56</v>
      </c>
      <c r="O14" s="17">
        <f>D14</f>
        <v>60.908874800206462</v>
      </c>
    </row>
    <row r="15" spans="1:51" ht="18" x14ac:dyDescent="0.25">
      <c r="A15" s="66" t="s">
        <v>57</v>
      </c>
      <c r="B15" s="15">
        <f>TEOR.EQ_A_G_opt2!G3</f>
        <v>0</v>
      </c>
      <c r="C15" s="15">
        <f>TIG.EQ_At_G_1!G3</f>
        <v>0</v>
      </c>
      <c r="D15" s="16" t="str">
        <f>IF(K15&gt;0,K15,"")</f>
        <v/>
      </c>
      <c r="E15" s="13" t="s">
        <v>14</v>
      </c>
      <c r="F15" s="20" t="e">
        <f>(F13-D13)+(F10-D10)+(F14-D14)</f>
        <v>#VALUE!</v>
      </c>
      <c r="G15" s="90"/>
      <c r="H15" s="91" t="str">
        <f t="shared" si="1"/>
        <v/>
      </c>
      <c r="I15" s="91" t="str">
        <f>IF(C15&gt;0,$B$6*C15/100,"")</f>
        <v/>
      </c>
      <c r="J15" s="91" t="str">
        <f>IF(B15&gt;0,I15/B15*100,"")</f>
        <v/>
      </c>
      <c r="K15" s="91" t="str">
        <f t="shared" si="4"/>
        <v/>
      </c>
      <c r="M15">
        <v>7</v>
      </c>
      <c r="N15" s="66" t="s">
        <v>57</v>
      </c>
      <c r="O15" s="17" t="str">
        <f t="shared" ref="O15:O33" si="5">D15</f>
        <v/>
      </c>
    </row>
    <row r="16" spans="1:51" ht="18" x14ac:dyDescent="0.25">
      <c r="A16" s="66" t="s">
        <v>58</v>
      </c>
      <c r="B16" s="15">
        <f>TEOR.EQ_A_G_opt2!H3</f>
        <v>0</v>
      </c>
      <c r="C16" s="15">
        <f>TIG.EQ_At_G_1!H3</f>
        <v>0</v>
      </c>
      <c r="D16" s="16" t="str">
        <f t="shared" si="3"/>
        <v/>
      </c>
      <c r="E16" s="13"/>
      <c r="F16" s="21" t="e">
        <f>D16*10</f>
        <v>#VALUE!</v>
      </c>
      <c r="G16" s="90"/>
      <c r="H16" s="91" t="str">
        <f t="shared" si="1"/>
        <v/>
      </c>
      <c r="I16" s="91" t="str">
        <f t="shared" si="2"/>
        <v/>
      </c>
      <c r="J16" s="91" t="str">
        <f>IF(B16&gt;0,I16/B16*100,"")</f>
        <v/>
      </c>
      <c r="K16" s="91" t="str">
        <f t="shared" si="4"/>
        <v/>
      </c>
      <c r="M16">
        <v>8</v>
      </c>
      <c r="N16" s="66" t="s">
        <v>58</v>
      </c>
      <c r="O16" s="17" t="str">
        <f t="shared" si="5"/>
        <v/>
      </c>
    </row>
    <row r="17" spans="1:15" ht="18" x14ac:dyDescent="0.25">
      <c r="A17" s="66" t="s">
        <v>77</v>
      </c>
      <c r="B17" s="15">
        <f>TEOR.EQ_A_G_opt2!I3</f>
        <v>0</v>
      </c>
      <c r="C17" s="15">
        <f>TIG.EQ_At_G_1!I3</f>
        <v>0</v>
      </c>
      <c r="D17" s="16" t="str">
        <f t="shared" si="3"/>
        <v/>
      </c>
      <c r="E17" s="13"/>
      <c r="F17" s="17" t="str">
        <f>D17</f>
        <v/>
      </c>
      <c r="G17" s="90"/>
      <c r="H17" s="91" t="str">
        <f>IF(B17&gt;0,$J$33*B17/100,"")</f>
        <v/>
      </c>
      <c r="I17" s="91" t="str">
        <f>IF(C17&gt;0,$B$6*C17/100,"")</f>
        <v/>
      </c>
      <c r="J17" s="91" t="str">
        <f>IF(B17&gt;0,I17/B17*100,"")</f>
        <v/>
      </c>
      <c r="K17" s="91" t="str">
        <f t="shared" si="4"/>
        <v/>
      </c>
      <c r="M17">
        <v>9</v>
      </c>
      <c r="N17" s="66" t="s">
        <v>77</v>
      </c>
      <c r="O17" s="17" t="str">
        <f t="shared" si="5"/>
        <v/>
      </c>
    </row>
    <row r="18" spans="1:15" ht="18" x14ac:dyDescent="0.25">
      <c r="A18" s="66" t="s">
        <v>204</v>
      </c>
      <c r="B18" s="15">
        <f>TEOR.EQ_A_G_opt2!J3</f>
        <v>0</v>
      </c>
      <c r="C18" s="15">
        <f>TIG.EQ_At_G_1!J3</f>
        <v>0</v>
      </c>
      <c r="D18" s="92" t="str">
        <f t="shared" si="3"/>
        <v/>
      </c>
      <c r="H18" s="91" t="str">
        <f>IF(B18&gt;0,$J$33*B18/100,"")</f>
        <v/>
      </c>
      <c r="I18" s="91" t="str">
        <f t="shared" ref="I18:I32" si="6">IF(C18&gt;0,$B$6*C18/100,"")</f>
        <v/>
      </c>
      <c r="J18" s="91" t="str">
        <f t="shared" ref="J18:J32" si="7">IF(B18&gt;0,I18/B18*100,"")</f>
        <v/>
      </c>
      <c r="K18" s="91" t="str">
        <f>IF(H18&gt;H50,(H18-I18),"")</f>
        <v/>
      </c>
      <c r="M18">
        <v>10</v>
      </c>
      <c r="N18" s="66" t="s">
        <v>204</v>
      </c>
      <c r="O18" s="17" t="str">
        <f t="shared" si="5"/>
        <v/>
      </c>
    </row>
    <row r="19" spans="1:15" ht="18" x14ac:dyDescent="0.25">
      <c r="A19" s="66" t="s">
        <v>16</v>
      </c>
      <c r="B19" s="15">
        <f>TEOR.EQ_A_G_opt2!K3</f>
        <v>0.7424938431422009</v>
      </c>
      <c r="C19" s="15">
        <f>TIG.EQ_At_G_1!K3</f>
        <v>1.6000667006096232</v>
      </c>
      <c r="D19" t="str">
        <f t="shared" si="3"/>
        <v/>
      </c>
      <c r="H19" s="91">
        <f t="shared" si="1"/>
        <v>16.000667006096233</v>
      </c>
      <c r="I19" s="91">
        <f t="shared" si="6"/>
        <v>16.000667006096233</v>
      </c>
      <c r="J19" s="91">
        <f>IF(B19&gt;0,I19/B19*100,"")</f>
        <v>2154.9898566676488</v>
      </c>
      <c r="K19" s="91">
        <f>IF(H19&gt;H51,(H19-I19),"")</f>
        <v>0</v>
      </c>
      <c r="M19">
        <v>11</v>
      </c>
      <c r="N19" s="66" t="s">
        <v>16</v>
      </c>
      <c r="O19" s="17" t="str">
        <f t="shared" si="5"/>
        <v/>
      </c>
    </row>
    <row r="20" spans="1:15" ht="18" x14ac:dyDescent="0.25">
      <c r="A20" s="66" t="s">
        <v>12</v>
      </c>
      <c r="B20" s="15">
        <f>TEOR.EQ_A_G_opt2!L3</f>
        <v>0</v>
      </c>
      <c r="C20" s="15">
        <f>TIG.EQ_At_G_1!L3</f>
        <v>0</v>
      </c>
      <c r="D20" t="str">
        <f t="shared" si="3"/>
        <v/>
      </c>
      <c r="H20" s="91" t="str">
        <f>IF(B20&gt;0,$J$33*B20/100,"")</f>
        <v/>
      </c>
      <c r="I20" s="91" t="str">
        <f>IF(C20&gt;0,$B$6*C20/100,"")</f>
        <v/>
      </c>
      <c r="J20" s="91" t="str">
        <f>IF(B20&gt;0,I20/B20*100,"")</f>
        <v/>
      </c>
      <c r="K20" s="91" t="str">
        <f>IF(H20&gt;H52,(H20-I20),"")</f>
        <v/>
      </c>
      <c r="M20">
        <v>12</v>
      </c>
      <c r="N20" s="66" t="s">
        <v>12</v>
      </c>
      <c r="O20" s="17" t="str">
        <f t="shared" si="5"/>
        <v/>
      </c>
    </row>
    <row r="21" spans="1:15" ht="18" x14ac:dyDescent="0.25">
      <c r="A21" s="66" t="s">
        <v>44</v>
      </c>
      <c r="B21" s="15">
        <f>TEOR.EQ_A_G_opt2!M3</f>
        <v>25.298393008433699</v>
      </c>
      <c r="C21" s="15">
        <f>TIG.EQ_At_G_1!M3</f>
        <v>1.3000541942453192</v>
      </c>
      <c r="D21">
        <f t="shared" si="3"/>
        <v>532.17726128921061</v>
      </c>
      <c r="H21" s="91">
        <f>IF(B21&gt;0,$J$33*B21/100,"")</f>
        <v>545.1778032316638</v>
      </c>
      <c r="I21" s="91">
        <f t="shared" si="6"/>
        <v>13.000541942453191</v>
      </c>
      <c r="J21" s="91">
        <f>IF(B21&gt;0,I21/B21*100,"")</f>
        <v>51.388805360558734</v>
      </c>
      <c r="K21" s="91">
        <f t="shared" si="4"/>
        <v>532.17726128921061</v>
      </c>
      <c r="M21">
        <v>13</v>
      </c>
      <c r="N21" s="66" t="s">
        <v>44</v>
      </c>
      <c r="O21" s="17">
        <f t="shared" si="5"/>
        <v>532.17726128921061</v>
      </c>
    </row>
    <row r="22" spans="1:15" ht="18" x14ac:dyDescent="0.25">
      <c r="A22" s="66" t="s">
        <v>55</v>
      </c>
      <c r="B22" s="15">
        <f>TEOR.EQ_A_G_opt2!N3</f>
        <v>0</v>
      </c>
      <c r="C22" s="15">
        <f>TIG.EQ_At_G_1!N3</f>
        <v>0.19000792069739278</v>
      </c>
      <c r="D22" t="str">
        <f t="shared" si="3"/>
        <v/>
      </c>
      <c r="H22" s="91" t="str">
        <f>IF(B22&gt;0,$J$33*B22/100,"")</f>
        <v/>
      </c>
      <c r="I22" s="91">
        <f t="shared" si="6"/>
        <v>1.9000792069739278</v>
      </c>
      <c r="J22" s="91" t="str">
        <f>IF(B22&gt;0,I22/B22*100,"")</f>
        <v/>
      </c>
      <c r="K22" s="91" t="str">
        <f>IF(H22&gt;H64,(H22-I22),"")</f>
        <v/>
      </c>
      <c r="M22">
        <v>14</v>
      </c>
      <c r="N22" s="66" t="s">
        <v>55</v>
      </c>
      <c r="O22" s="17" t="str">
        <f t="shared" si="5"/>
        <v/>
      </c>
    </row>
    <row r="23" spans="1:15" ht="18" x14ac:dyDescent="0.25">
      <c r="A23" s="66" t="s">
        <v>17</v>
      </c>
      <c r="B23" s="15">
        <f>TEOR.EQ_A_G_opt2!O3</f>
        <v>0</v>
      </c>
      <c r="C23" s="15">
        <f>TIG.EQ_At_G_1!O3</f>
        <v>0</v>
      </c>
      <c r="D23" t="str">
        <f t="shared" si="3"/>
        <v/>
      </c>
      <c r="H23" s="91" t="str">
        <f t="shared" si="1"/>
        <v/>
      </c>
      <c r="I23" s="91" t="str">
        <f t="shared" si="6"/>
        <v/>
      </c>
      <c r="J23" s="91" t="str">
        <f t="shared" si="7"/>
        <v/>
      </c>
      <c r="K23" s="91" t="str">
        <f>IF(H23&gt;H65,(H23-I23),"")</f>
        <v/>
      </c>
      <c r="M23">
        <v>15</v>
      </c>
      <c r="N23" s="66" t="s">
        <v>17</v>
      </c>
      <c r="O23" s="17" t="str">
        <f t="shared" si="5"/>
        <v/>
      </c>
    </row>
    <row r="24" spans="1:15" ht="18" x14ac:dyDescent="0.25">
      <c r="A24" s="66" t="s">
        <v>80</v>
      </c>
      <c r="B24" s="15">
        <f>TEOR.EQ_A_G_opt2!P3</f>
        <v>0</v>
      </c>
      <c r="C24" s="15">
        <f>TIG.EQ_At_G_1!P3</f>
        <v>5.2002167769812764E-2</v>
      </c>
      <c r="D24" t="str">
        <f t="shared" si="3"/>
        <v/>
      </c>
      <c r="E24" t="s">
        <v>90</v>
      </c>
      <c r="F24" s="3"/>
      <c r="G24" s="3"/>
      <c r="H24" s="91" t="str">
        <f t="shared" si="1"/>
        <v/>
      </c>
      <c r="I24" s="91">
        <f t="shared" si="6"/>
        <v>0.52002167769812768</v>
      </c>
      <c r="J24" s="91" t="str">
        <f t="shared" si="7"/>
        <v/>
      </c>
      <c r="K24" s="91" t="str">
        <f>IF(H24&gt;H66,(H24-I24),"")</f>
        <v/>
      </c>
      <c r="L24" s="3"/>
      <c r="M24">
        <v>16</v>
      </c>
      <c r="N24" s="66" t="s">
        <v>80</v>
      </c>
      <c r="O24" s="17" t="str">
        <f t="shared" si="5"/>
        <v/>
      </c>
    </row>
    <row r="25" spans="1:15" ht="18" x14ac:dyDescent="0.25">
      <c r="A25" s="66" t="s">
        <v>81</v>
      </c>
      <c r="B25" s="15">
        <f>TEOR.EQ_A_G_opt2!Q3</f>
        <v>0</v>
      </c>
      <c r="C25" s="15">
        <f>TIG.EQ_At_G_1!Q3</f>
        <v>0</v>
      </c>
      <c r="D25" t="str">
        <f t="shared" si="3"/>
        <v/>
      </c>
      <c r="F25" s="69"/>
      <c r="G25" s="69"/>
      <c r="H25" s="91" t="str">
        <f t="shared" si="1"/>
        <v/>
      </c>
      <c r="I25" s="91" t="str">
        <f t="shared" si="6"/>
        <v/>
      </c>
      <c r="J25" s="91" t="str">
        <f t="shared" si="7"/>
        <v/>
      </c>
      <c r="K25" s="91" t="str">
        <f t="shared" si="4"/>
        <v/>
      </c>
      <c r="L25" s="69"/>
      <c r="M25">
        <v>17</v>
      </c>
      <c r="N25" s="66" t="s">
        <v>81</v>
      </c>
      <c r="O25" s="17" t="str">
        <f t="shared" si="5"/>
        <v/>
      </c>
    </row>
    <row r="26" spans="1:15" ht="18" x14ac:dyDescent="0.25">
      <c r="A26" s="66" t="s">
        <v>82</v>
      </c>
      <c r="B26" s="15">
        <f>TEOR.EQ_A_G_opt2!R3</f>
        <v>0</v>
      </c>
      <c r="C26" s="15">
        <f>TIG.EQ_At_G_1!R3</f>
        <v>0</v>
      </c>
      <c r="D26" t="str">
        <f t="shared" si="3"/>
        <v/>
      </c>
      <c r="E26" t="s">
        <v>91</v>
      </c>
      <c r="F26" s="4"/>
      <c r="G26" s="4"/>
      <c r="H26" s="91" t="str">
        <f t="shared" si="1"/>
        <v/>
      </c>
      <c r="I26" s="91" t="str">
        <f t="shared" si="6"/>
        <v/>
      </c>
      <c r="J26" s="91" t="str">
        <f t="shared" si="7"/>
        <v/>
      </c>
      <c r="K26" s="91" t="str">
        <f t="shared" si="4"/>
        <v/>
      </c>
      <c r="L26" s="4"/>
      <c r="M26">
        <v>18</v>
      </c>
      <c r="N26" s="66" t="s">
        <v>82</v>
      </c>
      <c r="O26" s="17" t="str">
        <f t="shared" si="5"/>
        <v/>
      </c>
    </row>
    <row r="27" spans="1:15" ht="18" x14ac:dyDescent="0.25">
      <c r="A27" s="66" t="s">
        <v>83</v>
      </c>
      <c r="B27" s="15">
        <f>TEOR.EQ_A_G_opt2!S3</f>
        <v>0</v>
      </c>
      <c r="C27" s="15">
        <f>TIG.EQ_At_G_1!S3</f>
        <v>0</v>
      </c>
      <c r="D27" t="str">
        <f t="shared" si="3"/>
        <v/>
      </c>
      <c r="H27" s="91" t="str">
        <f t="shared" si="1"/>
        <v/>
      </c>
      <c r="I27" s="91" t="str">
        <f t="shared" si="6"/>
        <v/>
      </c>
      <c r="J27" s="91" t="str">
        <f t="shared" si="7"/>
        <v/>
      </c>
      <c r="K27" s="91" t="str">
        <f t="shared" si="4"/>
        <v/>
      </c>
      <c r="M27">
        <v>19</v>
      </c>
      <c r="N27" s="66" t="s">
        <v>83</v>
      </c>
      <c r="O27" s="17" t="str">
        <f t="shared" si="5"/>
        <v/>
      </c>
    </row>
    <row r="28" spans="1:15" ht="18" x14ac:dyDescent="0.25">
      <c r="A28" s="66" t="s">
        <v>45</v>
      </c>
      <c r="B28" s="15">
        <f>TEOR.EQ_A_G_opt2!T3</f>
        <v>0</v>
      </c>
      <c r="C28" s="15">
        <f>TIG.EQ_At_G_1!T3</f>
        <v>0</v>
      </c>
      <c r="D28" t="str">
        <f t="shared" si="3"/>
        <v/>
      </c>
      <c r="H28" s="91" t="str">
        <f t="shared" si="1"/>
        <v/>
      </c>
      <c r="I28" s="91" t="str">
        <f t="shared" si="6"/>
        <v/>
      </c>
      <c r="J28" s="91" t="str">
        <f t="shared" si="7"/>
        <v/>
      </c>
      <c r="K28" s="91" t="str">
        <f t="shared" si="4"/>
        <v/>
      </c>
      <c r="M28">
        <v>20</v>
      </c>
      <c r="N28" s="66" t="s">
        <v>45</v>
      </c>
      <c r="O28" s="17" t="str">
        <f t="shared" si="5"/>
        <v/>
      </c>
    </row>
    <row r="29" spans="1:15" ht="18" x14ac:dyDescent="0.25">
      <c r="A29" s="66" t="s">
        <v>43</v>
      </c>
      <c r="B29" s="15">
        <f>TEOR.EQ_A_G_opt2!U3</f>
        <v>0</v>
      </c>
      <c r="C29" s="15">
        <f>TIG.EQ_At_G_1!U3</f>
        <v>0</v>
      </c>
      <c r="D29" t="str">
        <f t="shared" si="3"/>
        <v/>
      </c>
      <c r="H29" s="91" t="str">
        <f t="shared" si="1"/>
        <v/>
      </c>
      <c r="I29" s="91" t="str">
        <f t="shared" si="6"/>
        <v/>
      </c>
      <c r="J29" s="91" t="str">
        <f t="shared" si="7"/>
        <v/>
      </c>
      <c r="K29" s="91" t="str">
        <f t="shared" si="4"/>
        <v/>
      </c>
      <c r="M29">
        <v>21</v>
      </c>
      <c r="N29" s="66" t="s">
        <v>43</v>
      </c>
      <c r="O29" s="17" t="str">
        <f t="shared" si="5"/>
        <v/>
      </c>
    </row>
    <row r="30" spans="1:15" ht="18" x14ac:dyDescent="0.25">
      <c r="A30" s="66" t="s">
        <v>13</v>
      </c>
      <c r="B30" s="15">
        <f>TEOR.EQ_A_G_opt2!V3</f>
        <v>0</v>
      </c>
      <c r="C30" s="15">
        <f>TIG.EQ_At_G_1!V3</f>
        <v>0</v>
      </c>
      <c r="D30" t="str">
        <f t="shared" si="3"/>
        <v/>
      </c>
      <c r="H30" s="91" t="str">
        <f t="shared" si="1"/>
        <v/>
      </c>
      <c r="I30" s="91" t="str">
        <f t="shared" si="6"/>
        <v/>
      </c>
      <c r="J30" s="91" t="str">
        <f t="shared" si="7"/>
        <v/>
      </c>
      <c r="K30" s="91" t="str">
        <f t="shared" si="4"/>
        <v/>
      </c>
      <c r="M30">
        <v>22</v>
      </c>
      <c r="N30" s="66" t="s">
        <v>13</v>
      </c>
      <c r="O30" s="17" t="str">
        <f t="shared" si="5"/>
        <v/>
      </c>
    </row>
    <row r="31" spans="1:15" ht="18" x14ac:dyDescent="0.25">
      <c r="A31" s="66" t="s">
        <v>0</v>
      </c>
      <c r="B31" s="15">
        <f>TEOR.EQ_A_G_opt2!W3</f>
        <v>0</v>
      </c>
      <c r="C31" s="15">
        <f>TIG.EQ_At_G_1!W3</f>
        <v>0</v>
      </c>
      <c r="D31" t="str">
        <f t="shared" si="3"/>
        <v/>
      </c>
      <c r="H31" s="91" t="str">
        <f t="shared" si="1"/>
        <v/>
      </c>
      <c r="I31" s="91" t="str">
        <f t="shared" si="6"/>
        <v/>
      </c>
      <c r="J31" s="91" t="str">
        <f t="shared" si="7"/>
        <v/>
      </c>
      <c r="K31" s="91" t="str">
        <f t="shared" si="4"/>
        <v/>
      </c>
      <c r="M31">
        <v>23</v>
      </c>
      <c r="N31" s="66" t="s">
        <v>0</v>
      </c>
      <c r="O31" s="17" t="str">
        <f t="shared" si="5"/>
        <v/>
      </c>
    </row>
    <row r="32" spans="1:15" ht="18" x14ac:dyDescent="0.25">
      <c r="A32" s="66" t="s">
        <v>11</v>
      </c>
      <c r="B32" s="15">
        <f>TEOR.EQ_A_G_opt2!X3</f>
        <v>0</v>
      </c>
      <c r="C32" s="15">
        <f>TIG.EQ_At_G_1!X3</f>
        <v>0</v>
      </c>
      <c r="D32" t="str">
        <f t="shared" si="3"/>
        <v/>
      </c>
      <c r="H32" s="91" t="str">
        <f t="shared" si="1"/>
        <v/>
      </c>
      <c r="I32" s="91" t="str">
        <f t="shared" si="6"/>
        <v/>
      </c>
      <c r="J32" s="91" t="str">
        <f t="shared" si="7"/>
        <v/>
      </c>
      <c r="K32" s="91" t="str">
        <f>IF(H32&gt;H64,(H32-I32),"")</f>
        <v/>
      </c>
      <c r="M32">
        <v>24</v>
      </c>
      <c r="N32" s="66" t="s">
        <v>11</v>
      </c>
      <c r="O32" s="17" t="str">
        <f t="shared" si="5"/>
        <v/>
      </c>
    </row>
    <row r="33" spans="1:26" ht="18" x14ac:dyDescent="0.25">
      <c r="A33" s="66" t="s">
        <v>10</v>
      </c>
      <c r="B33" s="15">
        <f>TEOR.EQ_A_G_opt2!Y3</f>
        <v>0</v>
      </c>
      <c r="C33" s="15">
        <f>TIG.EQ_At_G_1!Y3</f>
        <v>0</v>
      </c>
      <c r="D33">
        <f>IF(K34&gt;0,K34,"")</f>
        <v>1171.710553689019</v>
      </c>
      <c r="E33" s="17" t="e">
        <f>D15-F33</f>
        <v>#VALUE!</v>
      </c>
      <c r="F33" s="17" t="e">
        <f>(F14-D14)+(F13-D13)</f>
        <v>#VALUE!</v>
      </c>
      <c r="G33" s="90" t="s">
        <v>30</v>
      </c>
      <c r="H33" s="91">
        <f>SUM(H9:H32)</f>
        <v>2154.9898566676484</v>
      </c>
      <c r="I33" s="91">
        <f>SUM(I9:I32)</f>
        <v>1000</v>
      </c>
      <c r="J33" s="91">
        <f>MAX(J9:J32)</f>
        <v>2154.9898566676488</v>
      </c>
      <c r="K33" s="91">
        <f>IF(H33&gt;H65,(H33-I33),"")</f>
        <v>1154.9898566676484</v>
      </c>
      <c r="M33">
        <v>25</v>
      </c>
      <c r="N33" s="66" t="s">
        <v>10</v>
      </c>
      <c r="O33" s="17">
        <f t="shared" si="5"/>
        <v>1171.710553689019</v>
      </c>
    </row>
    <row r="34" spans="1:26" x14ac:dyDescent="0.25">
      <c r="B34" s="14">
        <f>SUM(B9:B33)</f>
        <v>100</v>
      </c>
      <c r="C34" s="14">
        <f>SUM(C9:C32)</f>
        <v>100.00000000000001</v>
      </c>
      <c r="D34" s="18">
        <f>SUM(D10:D33)</f>
        <v>1766.121171619634</v>
      </c>
      <c r="G34" s="337" t="s">
        <v>31</v>
      </c>
      <c r="H34" s="338"/>
      <c r="I34" s="91"/>
      <c r="J34" s="91">
        <f>IF(B6&gt;0,B6+D33,"")</f>
        <v>2171.710553689019</v>
      </c>
      <c r="K34" s="91">
        <f>SUM(K9:K32)</f>
        <v>1171.710553689019</v>
      </c>
    </row>
    <row r="35" spans="1:26" ht="18" x14ac:dyDescent="0.25">
      <c r="A35">
        <f>'OK OK'!A3</f>
        <v>0</v>
      </c>
      <c r="B35" s="210" t="s">
        <v>14</v>
      </c>
      <c r="C35" s="210" t="s">
        <v>15</v>
      </c>
      <c r="D35" s="210" t="s">
        <v>8</v>
      </c>
      <c r="E35" s="210" t="s">
        <v>9</v>
      </c>
      <c r="F35" s="210" t="s">
        <v>234</v>
      </c>
      <c r="G35" s="210" t="s">
        <v>56</v>
      </c>
      <c r="H35" s="210" t="s">
        <v>57</v>
      </c>
      <c r="I35" s="210" t="s">
        <v>58</v>
      </c>
      <c r="J35" s="210" t="s">
        <v>77</v>
      </c>
      <c r="K35" s="210" t="s">
        <v>204</v>
      </c>
      <c r="L35" s="210" t="s">
        <v>16</v>
      </c>
      <c r="M35" s="210" t="s">
        <v>12</v>
      </c>
      <c r="N35" s="210" t="s">
        <v>44</v>
      </c>
      <c r="O35" s="210" t="s">
        <v>55</v>
      </c>
      <c r="P35" s="210" t="s">
        <v>17</v>
      </c>
      <c r="Q35" s="210" t="s">
        <v>80</v>
      </c>
      <c r="R35" s="210" t="s">
        <v>81</v>
      </c>
      <c r="S35" s="210" t="s">
        <v>82</v>
      </c>
      <c r="T35" s="210" t="s">
        <v>83</v>
      </c>
      <c r="U35" s="210" t="s">
        <v>45</v>
      </c>
      <c r="V35" s="210" t="s">
        <v>43</v>
      </c>
      <c r="W35" s="210" t="s">
        <v>13</v>
      </c>
      <c r="X35" s="210" t="s">
        <v>0</v>
      </c>
      <c r="Y35" s="210" t="s">
        <v>11</v>
      </c>
      <c r="Z35" s="210" t="s">
        <v>10</v>
      </c>
    </row>
    <row r="36" spans="1:26" x14ac:dyDescent="0.25">
      <c r="A36" s="124" t="str">
        <f>'OK OK'!A4</f>
        <v>Composition in the crucible</v>
      </c>
      <c r="B36">
        <f>'OK OK'!B4</f>
        <v>94.328499999999991</v>
      </c>
      <c r="C36">
        <f>'OK OK'!C4</f>
        <v>0.89</v>
      </c>
      <c r="D36">
        <f>'OK OK'!D4</f>
        <v>1.43</v>
      </c>
      <c r="E36">
        <f>'OK OK'!E4</f>
        <v>0</v>
      </c>
      <c r="F36">
        <f>'OK OK'!F4</f>
        <v>0</v>
      </c>
      <c r="G36">
        <f>'OK OK'!G4</f>
        <v>0.2</v>
      </c>
      <c r="H36">
        <f>'OK OK'!H4</f>
        <v>5.0000000000000001E-3</v>
      </c>
      <c r="I36">
        <f>'OK OK'!I4</f>
        <v>1E-3</v>
      </c>
      <c r="J36">
        <f>'OK OK'!J4</f>
        <v>1E-3</v>
      </c>
      <c r="K36">
        <f>'OK OK'!K4</f>
        <v>1.5E-3</v>
      </c>
      <c r="L36">
        <f>'OK OK'!L4</f>
        <v>1.6</v>
      </c>
      <c r="M36">
        <f>'OK OK'!M4</f>
        <v>1E-3</v>
      </c>
      <c r="N36">
        <f>'OK OK'!N4</f>
        <v>1.3</v>
      </c>
      <c r="O36">
        <f>'OK OK'!O4</f>
        <v>0.19</v>
      </c>
      <c r="P36">
        <f>'OK OK'!P4</f>
        <v>0</v>
      </c>
      <c r="Q36">
        <f>'OK OK'!Q4</f>
        <v>5.1999999999999998E-2</v>
      </c>
      <c r="R36">
        <f>'OK OK'!R4</f>
        <v>0</v>
      </c>
      <c r="S36">
        <f>'OK OK'!S4</f>
        <v>0</v>
      </c>
      <c r="T36">
        <f>'OK OK'!T4</f>
        <v>0</v>
      </c>
      <c r="U36">
        <f>'OK OK'!U4</f>
        <v>0</v>
      </c>
      <c r="V36">
        <f>'OK OK'!V4</f>
        <v>0</v>
      </c>
      <c r="W36">
        <f>'OK OK'!W4</f>
        <v>0</v>
      </c>
      <c r="X36">
        <f>'OK OK'!X4</f>
        <v>0</v>
      </c>
      <c r="Y36">
        <f>'OK OK'!Y4</f>
        <v>0</v>
      </c>
      <c r="Z36">
        <f>'OK OK'!Z4</f>
        <v>0</v>
      </c>
    </row>
    <row r="37" spans="1:26" x14ac:dyDescent="0.25">
      <c r="A37" s="96" t="s">
        <v>165</v>
      </c>
      <c r="B37">
        <f>100-C37-D37-E37-F37-G37-H37-I37-J37-K37-L37-M37-N37-O37-P37-Q37-R37-S37-T37-U37-V37-W37-X37-Y37-Z37</f>
        <v>97.368201069507535</v>
      </c>
      <c r="C37">
        <f>C36/G6</f>
        <v>0.41299498336212326</v>
      </c>
      <c r="D37">
        <f>D36/G6</f>
        <v>0.66357620922228788</v>
      </c>
      <c r="E37">
        <f>E36/G6</f>
        <v>0</v>
      </c>
      <c r="F37">
        <f>F36/G6</f>
        <v>0</v>
      </c>
      <c r="G37">
        <f>G36/G6</f>
        <v>9.2807861429690622E-2</v>
      </c>
      <c r="H37">
        <f>H36/G6</f>
        <v>2.3201965357422653E-3</v>
      </c>
      <c r="I37">
        <f>I36/G6</f>
        <v>4.6403930714845307E-4</v>
      </c>
      <c r="J37">
        <f>J36/G6</f>
        <v>4.6403930714845307E-4</v>
      </c>
      <c r="K37">
        <f>K36/G6</f>
        <v>6.9605896072267963E-4</v>
      </c>
      <c r="L37">
        <f>L36/G6</f>
        <v>0.74246289143752497</v>
      </c>
      <c r="M37">
        <f>M36/G6</f>
        <v>4.6403930714845307E-4</v>
      </c>
      <c r="N37">
        <f>N36/G6</f>
        <v>0.60325109929298903</v>
      </c>
      <c r="O37">
        <f>O36/G6</f>
        <v>8.8167468358206089E-2</v>
      </c>
      <c r="P37">
        <f>P36/G6</f>
        <v>0</v>
      </c>
      <c r="Q37">
        <f>Q36/G6</f>
        <v>2.4130043971719559E-2</v>
      </c>
      <c r="R37">
        <f>R36/G6</f>
        <v>0</v>
      </c>
      <c r="S37">
        <f>S36/G6</f>
        <v>0</v>
      </c>
      <c r="T37">
        <f>T36/G6</f>
        <v>0</v>
      </c>
      <c r="U37">
        <f>U36/G6</f>
        <v>0</v>
      </c>
      <c r="V37">
        <f>V36/G6</f>
        <v>0</v>
      </c>
      <c r="W37">
        <f>W36/G6</f>
        <v>0</v>
      </c>
      <c r="X37">
        <f>X36/G6</f>
        <v>0</v>
      </c>
      <c r="Y37">
        <f>Y36/G6</f>
        <v>0</v>
      </c>
      <c r="Z37">
        <f>Z36/G6</f>
        <v>0</v>
      </c>
    </row>
    <row r="54" spans="1:51" ht="18.75" x14ac:dyDescent="0.3">
      <c r="B54" s="210" t="s">
        <v>14</v>
      </c>
      <c r="C54" s="210" t="s">
        <v>15</v>
      </c>
      <c r="D54" s="210" t="s">
        <v>8</v>
      </c>
      <c r="E54" s="210" t="s">
        <v>9</v>
      </c>
      <c r="F54" s="210" t="s">
        <v>234</v>
      </c>
      <c r="G54" s="210" t="s">
        <v>56</v>
      </c>
      <c r="H54" s="210" t="s">
        <v>57</v>
      </c>
      <c r="I54" s="210" t="s">
        <v>58</v>
      </c>
      <c r="J54" s="210" t="s">
        <v>77</v>
      </c>
      <c r="K54" s="210" t="s">
        <v>204</v>
      </c>
      <c r="L54" s="210" t="s">
        <v>16</v>
      </c>
      <c r="M54" s="210" t="s">
        <v>12</v>
      </c>
      <c r="N54" s="210" t="s">
        <v>44</v>
      </c>
      <c r="O54" s="210" t="s">
        <v>55</v>
      </c>
      <c r="P54" s="210" t="s">
        <v>17</v>
      </c>
      <c r="Q54" s="210" t="s">
        <v>80</v>
      </c>
      <c r="R54" s="210" t="s">
        <v>81</v>
      </c>
      <c r="S54" s="210" t="s">
        <v>82</v>
      </c>
      <c r="T54" s="210" t="s">
        <v>83</v>
      </c>
      <c r="U54" s="210" t="s">
        <v>45</v>
      </c>
      <c r="V54" s="210" t="s">
        <v>43</v>
      </c>
      <c r="W54" s="210" t="s">
        <v>13</v>
      </c>
      <c r="X54" s="210" t="s">
        <v>0</v>
      </c>
      <c r="Y54" s="210" t="s">
        <v>11</v>
      </c>
      <c r="Z54" s="210" t="s">
        <v>10</v>
      </c>
      <c r="AA54" s="211" t="s">
        <v>14</v>
      </c>
      <c r="AB54" s="212" t="s">
        <v>15</v>
      </c>
      <c r="AC54" s="213" t="s">
        <v>8</v>
      </c>
      <c r="AD54" s="214" t="s">
        <v>9</v>
      </c>
      <c r="AE54" s="213" t="s">
        <v>234</v>
      </c>
      <c r="AF54" s="213" t="s">
        <v>56</v>
      </c>
      <c r="AG54" s="214" t="s">
        <v>57</v>
      </c>
      <c r="AH54" s="213" t="s">
        <v>58</v>
      </c>
      <c r="AI54" s="215" t="s">
        <v>77</v>
      </c>
      <c r="AJ54" s="216" t="s">
        <v>204</v>
      </c>
      <c r="AK54" s="216" t="s">
        <v>16</v>
      </c>
      <c r="AL54" s="210" t="s">
        <v>13</v>
      </c>
      <c r="AM54" s="215" t="s">
        <v>44</v>
      </c>
      <c r="AN54" s="216" t="s">
        <v>55</v>
      </c>
      <c r="AO54" s="210" t="s">
        <v>17</v>
      </c>
      <c r="AP54" s="210" t="s">
        <v>80</v>
      </c>
      <c r="AQ54" s="210" t="s">
        <v>81</v>
      </c>
      <c r="AR54" s="210" t="s">
        <v>82</v>
      </c>
      <c r="AS54" s="210" t="s">
        <v>83</v>
      </c>
      <c r="AT54" s="210" t="s">
        <v>45</v>
      </c>
      <c r="AU54" s="210" t="s">
        <v>43</v>
      </c>
      <c r="AV54" s="210" t="s">
        <v>12</v>
      </c>
      <c r="AW54" s="210" t="s">
        <v>0</v>
      </c>
      <c r="AX54" s="210" t="s">
        <v>11</v>
      </c>
      <c r="AY54" s="210" t="s">
        <v>10</v>
      </c>
    </row>
    <row r="55" spans="1:51" ht="18.75" x14ac:dyDescent="0.3">
      <c r="B55" s="36">
        <f>100-C55-D55-E55-F55-G55-H55-I55-J55-K55-L55-M55-N55-O55-P55-Q55-R55-S55-T55-U55-V55-W55-X55-Y55-Z55</f>
        <v>97.368201069507535</v>
      </c>
      <c r="C55" s="37">
        <f>C37</f>
        <v>0.41299498336212326</v>
      </c>
      <c r="D55" s="37">
        <f t="shared" ref="D55:Z55" si="8">D37</f>
        <v>0.66357620922228788</v>
      </c>
      <c r="E55" s="37">
        <f t="shared" si="8"/>
        <v>0</v>
      </c>
      <c r="F55" s="37">
        <f t="shared" si="8"/>
        <v>0</v>
      </c>
      <c r="G55" s="37">
        <f t="shared" si="8"/>
        <v>9.2807861429690622E-2</v>
      </c>
      <c r="H55" s="37">
        <f t="shared" si="8"/>
        <v>2.3201965357422653E-3</v>
      </c>
      <c r="I55" s="37">
        <f t="shared" si="8"/>
        <v>4.6403930714845307E-4</v>
      </c>
      <c r="J55" s="37">
        <f t="shared" si="8"/>
        <v>4.6403930714845307E-4</v>
      </c>
      <c r="K55" s="37">
        <f t="shared" si="8"/>
        <v>6.9605896072267963E-4</v>
      </c>
      <c r="L55" s="37">
        <f t="shared" si="8"/>
        <v>0.74246289143752497</v>
      </c>
      <c r="M55" s="37">
        <f t="shared" si="8"/>
        <v>4.6403930714845307E-4</v>
      </c>
      <c r="N55" s="37">
        <f t="shared" si="8"/>
        <v>0.60325109929298903</v>
      </c>
      <c r="O55" s="37">
        <f t="shared" si="8"/>
        <v>8.8167468358206089E-2</v>
      </c>
      <c r="P55" s="37">
        <f t="shared" si="8"/>
        <v>0</v>
      </c>
      <c r="Q55" s="37">
        <f t="shared" si="8"/>
        <v>2.4130043971719559E-2</v>
      </c>
      <c r="R55" s="37">
        <f t="shared" si="8"/>
        <v>0</v>
      </c>
      <c r="S55" s="37">
        <f t="shared" si="8"/>
        <v>0</v>
      </c>
      <c r="T55" s="37">
        <f t="shared" si="8"/>
        <v>0</v>
      </c>
      <c r="U55" s="37">
        <f t="shared" si="8"/>
        <v>0</v>
      </c>
      <c r="V55" s="37">
        <f t="shared" si="8"/>
        <v>0</v>
      </c>
      <c r="W55" s="37">
        <f t="shared" si="8"/>
        <v>0</v>
      </c>
      <c r="X55" s="37">
        <f t="shared" si="8"/>
        <v>0</v>
      </c>
      <c r="Y55" s="37">
        <f t="shared" si="8"/>
        <v>0</v>
      </c>
      <c r="Z55" s="37">
        <f t="shared" si="8"/>
        <v>0</v>
      </c>
      <c r="AA55" s="219">
        <v>55.84</v>
      </c>
      <c r="AB55" s="219">
        <v>28.0855</v>
      </c>
      <c r="AC55" s="219">
        <v>58.693399999999997</v>
      </c>
      <c r="AD55" s="219">
        <v>63.545999999999999</v>
      </c>
      <c r="AE55" s="219">
        <v>65.38</v>
      </c>
      <c r="AF55" s="219">
        <v>12.01</v>
      </c>
      <c r="AG55" s="219">
        <v>30.973762000000001</v>
      </c>
      <c r="AH55" s="219">
        <v>32.064999999999998</v>
      </c>
      <c r="AI55" s="219">
        <v>14.0067</v>
      </c>
      <c r="AJ55" s="219">
        <v>10.81</v>
      </c>
      <c r="AK55" s="219">
        <v>54.938043999999998</v>
      </c>
      <c r="AL55" s="219">
        <v>24.305</v>
      </c>
      <c r="AM55" s="219">
        <v>51.996099999999998</v>
      </c>
      <c r="AN55" s="219">
        <v>95.95</v>
      </c>
      <c r="AO55" s="220">
        <v>47.866999999999997</v>
      </c>
      <c r="AP55" s="220">
        <v>50.941499999999998</v>
      </c>
      <c r="AQ55" s="220">
        <v>92.906369999999995</v>
      </c>
      <c r="AR55" s="220">
        <v>183.84</v>
      </c>
      <c r="AS55" s="220">
        <v>180.94788</v>
      </c>
      <c r="AT55" s="220">
        <v>91.224000000000004</v>
      </c>
      <c r="AU55" s="220">
        <v>58.933194999999998</v>
      </c>
      <c r="AV55" s="220">
        <v>26.981539999999999</v>
      </c>
      <c r="AW55" s="219">
        <v>121.76</v>
      </c>
      <c r="AX55" s="219">
        <v>207.2</v>
      </c>
      <c r="AY55" s="219">
        <v>118.71</v>
      </c>
    </row>
    <row r="56" spans="1:51" ht="18.75" x14ac:dyDescent="0.3">
      <c r="A56" s="96" t="s">
        <v>166</v>
      </c>
      <c r="B56" s="36">
        <f>100*((((B55)/(AA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96.649217925086532</v>
      </c>
      <c r="C56" s="36">
        <f>100*((((C55)/(AB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0.81505933133391528</v>
      </c>
      <c r="D56" s="36">
        <f>100*((((D55)/(AC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0.62665447666005791</v>
      </c>
      <c r="E56" s="36">
        <f>100*((((E55)/(AD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F56" s="36">
        <f>100*((((F55)/(AE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G56" s="36">
        <f>100*((((G55)/(AF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0.42832001141705273</v>
      </c>
      <c r="H56" s="36">
        <f>100*((((H55)/(AG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4.1520007620633901E-3</v>
      </c>
      <c r="I56" s="36">
        <f>100*((((I55)/(AH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8.0213992470276065E-4</v>
      </c>
      <c r="J56" s="36">
        <f>100*((((J55)/(AI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1.8363081015224151E-3</v>
      </c>
      <c r="K56" s="36">
        <f>100*((((K55)/(AJ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3.5690032403691979E-3</v>
      </c>
      <c r="L56" s="36">
        <f>100*((((L55)/(AK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0.74907993988556332</v>
      </c>
      <c r="M56" s="36">
        <f>100*((((M55)/(AL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1.0582438463523562E-3</v>
      </c>
      <c r="N56" s="36">
        <f>100*((((N55)/(AM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0.64306364691336892</v>
      </c>
      <c r="O56" s="36">
        <f>100*((((O55)/(AN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5.093191422889904E-2</v>
      </c>
      <c r="P56" s="36">
        <f>100*((((P55)/(AO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Q56" s="36">
        <f>100*((((Q55)/(AP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2.6255058599587544E-2</v>
      </c>
      <c r="R56" s="36">
        <f>100*((((R55)/(AQ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S56" s="36">
        <f>100*((((S55)/(AR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T56" s="36">
        <f>100*((((T55)/(AS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U56" s="36">
        <f>100*((((U55)/(AT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V56" s="36">
        <f>100*((((V55)/(AU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W56" s="36">
        <f>100*((((W55)/(AV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X56" s="7">
        <f>100*((((X55)/(AW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Y56" s="7">
        <f>100*((((Y55)/(AX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Z56" s="7">
        <f>100*((((Z55)/(AY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</sheetData>
  <mergeCells count="1">
    <mergeCell ref="G34:H34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A641D-62FD-4D2A-B128-58CEE07EF6B1}">
  <dimension ref="A1:AY56"/>
  <sheetViews>
    <sheetView zoomScaleNormal="100" workbookViewId="0">
      <selection activeCell="Q21" sqref="Q21"/>
    </sheetView>
  </sheetViews>
  <sheetFormatPr baseColWidth="10" defaultRowHeight="15" x14ac:dyDescent="0.25"/>
  <cols>
    <col min="1" max="1" width="21" customWidth="1"/>
    <col min="4" max="4" width="13.5703125" customWidth="1"/>
    <col min="5" max="5" width="12.5703125" customWidth="1"/>
    <col min="6" max="6" width="13.5703125" customWidth="1"/>
  </cols>
  <sheetData>
    <row r="1" spans="1:51" ht="18.75" x14ac:dyDescent="0.3">
      <c r="A1" s="66" t="s">
        <v>14</v>
      </c>
      <c r="B1" s="66" t="s">
        <v>15</v>
      </c>
      <c r="C1" s="66" t="s">
        <v>8</v>
      </c>
      <c r="D1" s="66" t="s">
        <v>9</v>
      </c>
      <c r="E1" s="66" t="s">
        <v>234</v>
      </c>
      <c r="F1" s="66" t="s">
        <v>56</v>
      </c>
      <c r="G1" s="66" t="s">
        <v>57</v>
      </c>
      <c r="H1" s="66" t="s">
        <v>58</v>
      </c>
      <c r="I1" s="66" t="s">
        <v>77</v>
      </c>
      <c r="J1" s="66" t="s">
        <v>204</v>
      </c>
      <c r="K1" s="66" t="s">
        <v>16</v>
      </c>
      <c r="L1" s="66" t="s">
        <v>12</v>
      </c>
      <c r="M1" s="66" t="s">
        <v>44</v>
      </c>
      <c r="N1" s="66" t="s">
        <v>55</v>
      </c>
      <c r="O1" s="66" t="s">
        <v>17</v>
      </c>
      <c r="P1" s="66" t="s">
        <v>80</v>
      </c>
      <c r="Q1" s="66" t="s">
        <v>81</v>
      </c>
      <c r="R1" s="66" t="s">
        <v>82</v>
      </c>
      <c r="S1" s="66" t="s">
        <v>83</v>
      </c>
      <c r="T1" s="66" t="s">
        <v>45</v>
      </c>
      <c r="U1" s="66" t="s">
        <v>43</v>
      </c>
      <c r="V1" s="66" t="s">
        <v>13</v>
      </c>
      <c r="W1" s="66" t="s">
        <v>0</v>
      </c>
      <c r="X1" s="66" t="s">
        <v>11</v>
      </c>
      <c r="Y1" s="66" t="s">
        <v>10</v>
      </c>
      <c r="Z1" s="211" t="s">
        <v>14</v>
      </c>
      <c r="AA1" s="212" t="s">
        <v>15</v>
      </c>
      <c r="AB1" s="213" t="s">
        <v>8</v>
      </c>
      <c r="AC1" s="214" t="s">
        <v>9</v>
      </c>
      <c r="AD1" s="213" t="s">
        <v>234</v>
      </c>
      <c r="AE1" s="213" t="s">
        <v>56</v>
      </c>
      <c r="AF1" s="214" t="s">
        <v>57</v>
      </c>
      <c r="AG1" s="213" t="s">
        <v>58</v>
      </c>
      <c r="AH1" s="215" t="s">
        <v>77</v>
      </c>
      <c r="AI1" s="216" t="s">
        <v>204</v>
      </c>
      <c r="AJ1" s="216" t="s">
        <v>16</v>
      </c>
      <c r="AK1" s="210" t="s">
        <v>13</v>
      </c>
      <c r="AL1" s="215" t="s">
        <v>44</v>
      </c>
      <c r="AM1" s="216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12</v>
      </c>
      <c r="AV1" s="210" t="s">
        <v>0</v>
      </c>
      <c r="AW1" s="210" t="s">
        <v>11</v>
      </c>
      <c r="AX1" s="210" t="s">
        <v>10</v>
      </c>
      <c r="AY1" s="35"/>
    </row>
    <row r="2" spans="1:51" ht="18.75" x14ac:dyDescent="0.3">
      <c r="A2" s="36">
        <f>100-B2-C2-D2-E2-F2-G2-H2-I2-J2-K2-L2-M2-N2-O2-P2-Q2-R2-S2-T2-U2-V2-W2-X2-Y2</f>
        <v>94.328499999999991</v>
      </c>
      <c r="B2" s="37">
        <f>'OK OK'!C4</f>
        <v>0.89</v>
      </c>
      <c r="C2" s="37">
        <f>'OK OK'!D4</f>
        <v>1.43</v>
      </c>
      <c r="D2" s="37">
        <f>'OK OK'!E4</f>
        <v>0</v>
      </c>
      <c r="E2" s="37">
        <f>'OK OK'!F4</f>
        <v>0</v>
      </c>
      <c r="F2" s="37">
        <f>'OK OK'!G4</f>
        <v>0.2</v>
      </c>
      <c r="G2" s="37">
        <f>'OK OK'!H4</f>
        <v>5.0000000000000001E-3</v>
      </c>
      <c r="H2" s="37">
        <f>'OK OK'!I4</f>
        <v>1E-3</v>
      </c>
      <c r="I2" s="37">
        <f>'OK OK'!J4</f>
        <v>1E-3</v>
      </c>
      <c r="J2" s="37">
        <f>'OK OK'!K4</f>
        <v>1.5E-3</v>
      </c>
      <c r="K2" s="37">
        <f>'OK OK'!L4</f>
        <v>1.6</v>
      </c>
      <c r="L2" s="37">
        <f>'OK OK'!M4</f>
        <v>1E-3</v>
      </c>
      <c r="M2" s="37">
        <f>'OK OK'!N4</f>
        <v>1.3</v>
      </c>
      <c r="N2" s="37">
        <f>'OK OK'!O4</f>
        <v>0.19</v>
      </c>
      <c r="O2" s="37">
        <f>'OK OK'!P4</f>
        <v>0</v>
      </c>
      <c r="P2" s="37">
        <f>'OK OK'!Q4</f>
        <v>5.1999999999999998E-2</v>
      </c>
      <c r="Q2" s="37">
        <f>'OK OK'!R4</f>
        <v>0</v>
      </c>
      <c r="R2" s="37">
        <f>'OK OK'!S4</f>
        <v>0</v>
      </c>
      <c r="S2" s="37">
        <f>'OK OK'!T4</f>
        <v>0</v>
      </c>
      <c r="T2" s="37">
        <f>'OK OK'!U4</f>
        <v>0</v>
      </c>
      <c r="U2" s="37">
        <f>'OK OK'!V4</f>
        <v>0</v>
      </c>
      <c r="V2" s="37">
        <f>'OK OK'!W4</f>
        <v>0</v>
      </c>
      <c r="W2" s="37">
        <f>'OK OK'!X4</f>
        <v>0</v>
      </c>
      <c r="X2" s="37">
        <f>'OK OK'!Y4</f>
        <v>0</v>
      </c>
      <c r="Y2" s="37">
        <f>'OK OK'!Z4</f>
        <v>0</v>
      </c>
      <c r="Z2" s="219">
        <v>55.84</v>
      </c>
      <c r="AA2" s="219">
        <v>28.0855</v>
      </c>
      <c r="AB2" s="219">
        <v>58.693399999999997</v>
      </c>
      <c r="AC2" s="219">
        <v>63.545999999999999</v>
      </c>
      <c r="AD2" s="219">
        <v>65.38</v>
      </c>
      <c r="AE2" s="219">
        <v>12.01</v>
      </c>
      <c r="AF2" s="219">
        <v>30.973762000000001</v>
      </c>
      <c r="AG2" s="219">
        <v>32.064999999999998</v>
      </c>
      <c r="AH2" s="219">
        <v>14.0067</v>
      </c>
      <c r="AI2" s="219">
        <v>10.81</v>
      </c>
      <c r="AJ2" s="219">
        <v>54.938043999999998</v>
      </c>
      <c r="AK2" s="219">
        <v>24.305</v>
      </c>
      <c r="AL2" s="219">
        <v>51.996099999999998</v>
      </c>
      <c r="AM2" s="219">
        <v>95.95</v>
      </c>
      <c r="AN2" s="220">
        <v>47.866999999999997</v>
      </c>
      <c r="AO2" s="220">
        <v>50.941499999999998</v>
      </c>
      <c r="AP2" s="220">
        <v>92.906369999999995</v>
      </c>
      <c r="AQ2" s="220">
        <v>183.84</v>
      </c>
      <c r="AR2" s="220">
        <v>180.94788</v>
      </c>
      <c r="AS2" s="220">
        <v>91.224000000000004</v>
      </c>
      <c r="AT2" s="220">
        <v>58.933194999999998</v>
      </c>
      <c r="AU2" s="220">
        <v>26.981539999999999</v>
      </c>
      <c r="AV2" s="219">
        <v>121.76</v>
      </c>
      <c r="AW2" s="219">
        <v>207.2</v>
      </c>
      <c r="AX2" s="219">
        <v>118.71</v>
      </c>
      <c r="AY2" s="7"/>
    </row>
    <row r="3" spans="1:51" ht="18.75" x14ac:dyDescent="0.3">
      <c r="A3" s="36">
        <f>100*((((A2)/(Z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92.840162287943627</v>
      </c>
      <c r="B3" s="36">
        <f>100*((((B2)/(AA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1.741591189035695</v>
      </c>
      <c r="C3" s="36">
        <f>100*((((C2)/(AB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1.3390140731654472</v>
      </c>
      <c r="D3" s="36">
        <f>100*((((D2)/(AC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E3" s="36">
        <f>100*((((E2)/(AD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F3" s="36">
        <f>100*((((F2)/(AE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0.91521970155323784</v>
      </c>
      <c r="G3" s="36">
        <f>100*((((G2)/(AF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8.8718546811123438E-3</v>
      </c>
      <c r="H3" s="36">
        <f>100*((((H2)/(AG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1.7139854382745025E-3</v>
      </c>
      <c r="I3" s="36">
        <f>100*((((I2)/(AH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3.9237609914021089E-3</v>
      </c>
      <c r="J3" s="36">
        <f>100*((((J2)/(AI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7.6261253115085933E-3</v>
      </c>
      <c r="K3" s="36">
        <f>100*((((K2)/(AJ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1.6006086588236572</v>
      </c>
      <c r="L3" s="36">
        <f>100*((((L2)/(AK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2.2612196288118464E-3</v>
      </c>
      <c r="M3" s="36">
        <f>100*((((M2)/(AL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1.3740766327042508</v>
      </c>
      <c r="N3" s="36">
        <f>100*((((N2)/(AM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0.10882959025400381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P3" s="36">
        <f>100*((((P2)/(AO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5.6100920468972061E-2</v>
      </c>
      <c r="Q3" s="36">
        <f>100*((((Q2)/(AP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R3" s="36">
        <f>100*((((R2)/(AQ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S3" s="36">
        <f>100*((((S2)/(AR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T3" s="36">
        <f>100*((((T2)/(AS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U3" s="36">
        <f>100*((((U2)/(AT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V3" s="36">
        <f>100*((((V2)/(AU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W3" s="7">
        <f>100*((((W2)/(AV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X3" s="7">
        <f>100*((((X2)/(AW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Y3" s="7">
        <f>100*((((Y2)/(AX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51" ht="15.75" x14ac:dyDescent="0.25">
      <c r="A4" s="8" t="s">
        <v>18</v>
      </c>
      <c r="B4" s="9">
        <v>111</v>
      </c>
    </row>
    <row r="5" spans="1:51" ht="15.75" x14ac:dyDescent="0.25">
      <c r="A5" s="8" t="s">
        <v>19</v>
      </c>
      <c r="B5" s="9" t="s">
        <v>79</v>
      </c>
      <c r="C5" s="10"/>
    </row>
    <row r="6" spans="1:51" ht="15.75" x14ac:dyDescent="0.25">
      <c r="A6" s="8" t="s">
        <v>20</v>
      </c>
      <c r="B6" s="9">
        <f>'OK OK'!B13</f>
        <v>1000</v>
      </c>
      <c r="D6" s="8" t="s">
        <v>21</v>
      </c>
      <c r="E6" s="11">
        <f>IF(J33&gt;1,J33,"")</f>
        <v>2866.1445800016786</v>
      </c>
      <c r="F6" s="12" t="s">
        <v>22</v>
      </c>
      <c r="G6">
        <f>E6/B6</f>
        <v>2.8661445800016785</v>
      </c>
    </row>
    <row r="7" spans="1:51" ht="15.75" x14ac:dyDescent="0.25">
      <c r="A7" s="3"/>
      <c r="B7" t="s">
        <v>50</v>
      </c>
      <c r="C7" t="s">
        <v>51</v>
      </c>
    </row>
    <row r="8" spans="1:51" ht="18.75" x14ac:dyDescent="0.3">
      <c r="A8" s="3"/>
      <c r="B8" s="13" t="s">
        <v>23</v>
      </c>
      <c r="C8" s="13" t="s">
        <v>24</v>
      </c>
      <c r="D8" s="13" t="s">
        <v>25</v>
      </c>
      <c r="E8" s="19" t="s">
        <v>38</v>
      </c>
      <c r="F8" s="13" t="s">
        <v>25</v>
      </c>
      <c r="G8" s="10"/>
      <c r="H8" s="14" t="s">
        <v>26</v>
      </c>
      <c r="I8" s="14" t="s">
        <v>27</v>
      </c>
      <c r="J8" s="14" t="s">
        <v>28</v>
      </c>
      <c r="K8" s="14" t="s">
        <v>29</v>
      </c>
      <c r="Z8" s="57"/>
      <c r="AA8" s="58"/>
      <c r="AB8" s="59"/>
      <c r="AC8" s="60"/>
      <c r="AD8" s="59"/>
      <c r="AE8" s="59"/>
      <c r="AF8" s="60"/>
      <c r="AG8" s="59"/>
      <c r="AH8" s="61"/>
      <c r="AI8" s="62"/>
      <c r="AJ8" s="62"/>
      <c r="AK8" s="63"/>
      <c r="AL8" s="63"/>
      <c r="AM8" s="62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</row>
    <row r="9" spans="1:51" ht="18.75" x14ac:dyDescent="0.3">
      <c r="A9" s="66" t="s">
        <v>14</v>
      </c>
      <c r="B9" s="15">
        <f>TEOR.EQ_A_G_3!A3</f>
        <v>68.223987210895487</v>
      </c>
      <c r="C9" s="15">
        <f>TIG.EQ_At_G_1!A3</f>
        <v>94.332432355284283</v>
      </c>
      <c r="D9" s="136">
        <f>IF(K9&gt;0,K9,"")</f>
        <v>1012.0737881532765</v>
      </c>
      <c r="E9" s="13" t="s">
        <v>56</v>
      </c>
      <c r="F9" s="20">
        <f t="shared" ref="F9:F12" si="0">D9</f>
        <v>1012.0737881532765</v>
      </c>
      <c r="G9" s="90"/>
      <c r="H9" s="91">
        <f t="shared" ref="H9:H32" si="1">IF(B9&gt;0,$J$33*B9/100,"")</f>
        <v>1955.3981117061194</v>
      </c>
      <c r="I9" s="91">
        <f>IF(C9&gt;0,$B$6*C9/100,"")</f>
        <v>943.32432355284288</v>
      </c>
      <c r="J9" s="91">
        <f>IF(B9&gt;0,I9/B9*100,"")</f>
        <v>1382.6871780988379</v>
      </c>
      <c r="K9" s="91">
        <f t="shared" ref="K9:K31" si="2">IF(H9&gt;H41,(H9-I9),"")</f>
        <v>1012.0737881532765</v>
      </c>
      <c r="M9">
        <v>1</v>
      </c>
      <c r="N9" s="66" t="s">
        <v>14</v>
      </c>
      <c r="O9" s="91">
        <f>D9</f>
        <v>1012.0737881532765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V9" s="7"/>
      <c r="AW9" s="7"/>
      <c r="AX9" s="7"/>
    </row>
    <row r="10" spans="1:51" ht="18" x14ac:dyDescent="0.25">
      <c r="A10" s="66" t="s">
        <v>15</v>
      </c>
      <c r="B10" s="15">
        <f>TEOR.EQ_A_G_3!B3</f>
        <v>0.76105788919333284</v>
      </c>
      <c r="C10" s="15">
        <f>TIG.EQ_At_G_1!B3</f>
        <v>0.89003710221410315</v>
      </c>
      <c r="D10" s="136">
        <f>IF(K10&gt;0,K10,"")</f>
        <v>12.912648419648855</v>
      </c>
      <c r="E10" s="13" t="s">
        <v>16</v>
      </c>
      <c r="F10" s="20"/>
      <c r="G10" s="90"/>
      <c r="H10" s="91">
        <f t="shared" si="1"/>
        <v>21.813019441789887</v>
      </c>
      <c r="I10" s="91">
        <f t="shared" ref="I10:I16" si="3">IF(C10&gt;0,$B$6*C10/100,"")</f>
        <v>8.9003710221410319</v>
      </c>
      <c r="J10" s="91">
        <f>IF(B10&gt;0,I10/B10*100,"")</f>
        <v>1169.4735904485258</v>
      </c>
      <c r="K10" s="91">
        <f t="shared" si="2"/>
        <v>12.912648419648855</v>
      </c>
      <c r="M10">
        <v>2</v>
      </c>
      <c r="N10" s="66" t="s">
        <v>15</v>
      </c>
      <c r="O10" s="91">
        <f t="shared" ref="O10:O34" si="4">D10</f>
        <v>12.912648419648855</v>
      </c>
    </row>
    <row r="11" spans="1:51" ht="18" x14ac:dyDescent="0.25">
      <c r="A11" s="66" t="s">
        <v>8</v>
      </c>
      <c r="B11" s="15">
        <f>TEOR.EQ_A_G_3!C3</f>
        <v>0</v>
      </c>
      <c r="C11" s="15">
        <f>TIG.EQ_At_G_1!C3</f>
        <v>1.4300596136698511</v>
      </c>
      <c r="D11" s="136" t="str">
        <f t="shared" ref="D11:D32" si="5">IF(K11&gt;0,K11,"")</f>
        <v/>
      </c>
      <c r="E11" s="13" t="s">
        <v>13</v>
      </c>
      <c r="F11" s="20" t="str">
        <f t="shared" si="0"/>
        <v/>
      </c>
      <c r="G11" s="90"/>
      <c r="H11" s="91" t="str">
        <f t="shared" si="1"/>
        <v/>
      </c>
      <c r="I11" s="91">
        <f t="shared" si="3"/>
        <v>14.300596136698511</v>
      </c>
      <c r="J11" s="91" t="str">
        <f>IF(B11&gt;0,I11/B11*100,"")</f>
        <v/>
      </c>
      <c r="K11" s="91" t="str">
        <f t="shared" si="2"/>
        <v/>
      </c>
      <c r="M11">
        <v>3</v>
      </c>
      <c r="N11" s="66" t="s">
        <v>8</v>
      </c>
      <c r="O11" s="91" t="str">
        <f t="shared" si="4"/>
        <v/>
      </c>
    </row>
    <row r="12" spans="1:51" ht="18" x14ac:dyDescent="0.25">
      <c r="A12" s="66" t="s">
        <v>9</v>
      </c>
      <c r="B12" s="15">
        <f>TEOR.EQ_A_G_3!D3</f>
        <v>0</v>
      </c>
      <c r="C12" s="15">
        <f>TIG.EQ_At_G_1!D3</f>
        <v>0</v>
      </c>
      <c r="D12" s="136" t="str">
        <f t="shared" si="5"/>
        <v/>
      </c>
      <c r="E12" s="13" t="s">
        <v>15</v>
      </c>
      <c r="F12" s="20" t="str">
        <f t="shared" si="0"/>
        <v/>
      </c>
      <c r="G12" s="90"/>
      <c r="H12" s="91" t="str">
        <f t="shared" si="1"/>
        <v/>
      </c>
      <c r="I12" s="91" t="str">
        <f>IF(C12&gt;0,$B$6*C12/100,"")</f>
        <v/>
      </c>
      <c r="J12" s="91" t="str">
        <f>IF(B12&gt;0,I12/B12*100,"")</f>
        <v/>
      </c>
      <c r="K12" s="91" t="str">
        <f t="shared" si="2"/>
        <v/>
      </c>
      <c r="M12">
        <v>4</v>
      </c>
      <c r="N12" s="66" t="s">
        <v>9</v>
      </c>
      <c r="O12" s="91" t="str">
        <f t="shared" si="4"/>
        <v/>
      </c>
    </row>
    <row r="13" spans="1:51" ht="18" x14ac:dyDescent="0.25">
      <c r="A13" s="66" t="s">
        <v>234</v>
      </c>
      <c r="B13" s="15">
        <f>TEOR.EQ_A_G_3!E3</f>
        <v>0</v>
      </c>
      <c r="C13" s="15">
        <f>TIG.EQ_At_G_1!E3</f>
        <v>0</v>
      </c>
      <c r="D13" s="136" t="str">
        <f t="shared" si="5"/>
        <v/>
      </c>
      <c r="E13" s="13" t="s">
        <v>17</v>
      </c>
      <c r="F13" s="20" t="e">
        <f>D13*10</f>
        <v>#VALUE!</v>
      </c>
      <c r="G13" s="90"/>
      <c r="H13" s="91" t="str">
        <f t="shared" si="1"/>
        <v/>
      </c>
      <c r="I13" s="91" t="str">
        <f t="shared" si="3"/>
        <v/>
      </c>
      <c r="J13" s="91" t="str">
        <f>IF(B13&gt;0,I13/B13*100,"")</f>
        <v/>
      </c>
      <c r="K13" s="91" t="str">
        <f t="shared" si="2"/>
        <v/>
      </c>
      <c r="M13">
        <v>5</v>
      </c>
      <c r="N13" s="66" t="s">
        <v>234</v>
      </c>
      <c r="O13" s="91" t="str">
        <f t="shared" si="4"/>
        <v/>
      </c>
    </row>
    <row r="14" spans="1:51" ht="18" x14ac:dyDescent="0.25">
      <c r="A14" s="66" t="s">
        <v>56</v>
      </c>
      <c r="B14" s="15">
        <f>TEOR.EQ_A_G_3!F3</f>
        <v>3.0103727387872867</v>
      </c>
      <c r="C14" s="15">
        <f>TIG.EQ_At_G_1!F3</f>
        <v>0.20533994550961771</v>
      </c>
      <c r="D14" s="136">
        <f t="shared" si="5"/>
        <v>84.228235635503722</v>
      </c>
      <c r="E14" s="13" t="s">
        <v>45</v>
      </c>
      <c r="F14" s="20">
        <f>D14*10</f>
        <v>842.28235635503722</v>
      </c>
      <c r="G14" s="90"/>
      <c r="H14" s="91">
        <f t="shared" si="1"/>
        <v>86.281635090599906</v>
      </c>
      <c r="I14" s="91">
        <f t="shared" si="3"/>
        <v>2.0533994550961769</v>
      </c>
      <c r="J14" s="91">
        <f>IF(C14&gt;0.14,I14/B14*100,"")</f>
        <v>68.210804218330068</v>
      </c>
      <c r="K14" s="91">
        <f t="shared" si="2"/>
        <v>84.228235635503722</v>
      </c>
      <c r="M14">
        <v>6</v>
      </c>
      <c r="N14" s="66" t="s">
        <v>56</v>
      </c>
      <c r="O14" s="91">
        <f t="shared" si="4"/>
        <v>84.228235635503722</v>
      </c>
    </row>
    <row r="15" spans="1:51" ht="18" x14ac:dyDescent="0.25">
      <c r="A15" s="66" t="s">
        <v>57</v>
      </c>
      <c r="B15" s="15">
        <f>TEOR.EQ_A_G_3!G3</f>
        <v>0</v>
      </c>
      <c r="C15" s="15">
        <f>TIG.EQ_At_G_1!G3</f>
        <v>0</v>
      </c>
      <c r="D15" s="136" t="str">
        <f>IF(K15&gt;0,K15,"")</f>
        <v/>
      </c>
      <c r="E15" s="13" t="s">
        <v>14</v>
      </c>
      <c r="F15" s="20" t="e">
        <f>(F13-D13)+(F10-D10)+(F14-D14)</f>
        <v>#VALUE!</v>
      </c>
      <c r="G15" s="90"/>
      <c r="H15" s="91" t="str">
        <f t="shared" si="1"/>
        <v/>
      </c>
      <c r="I15" s="91" t="str">
        <f>IF(C15&gt;0,$B$6*C15/100,"")</f>
        <v/>
      </c>
      <c r="J15" s="91" t="str">
        <f>IF(B15&gt;0,I15/B15*100,"")</f>
        <v/>
      </c>
      <c r="K15" s="91" t="str">
        <f t="shared" si="2"/>
        <v/>
      </c>
      <c r="M15">
        <v>7</v>
      </c>
      <c r="N15" s="66" t="s">
        <v>57</v>
      </c>
      <c r="O15" s="91" t="str">
        <f t="shared" si="4"/>
        <v/>
      </c>
    </row>
    <row r="16" spans="1:51" ht="18" x14ac:dyDescent="0.25">
      <c r="A16" s="66" t="s">
        <v>58</v>
      </c>
      <c r="B16" s="15">
        <f>TEOR.EQ_A_G_3!H3</f>
        <v>0</v>
      </c>
      <c r="C16" s="15">
        <f>TIG.EQ_At_G_1!H3</f>
        <v>0</v>
      </c>
      <c r="D16" s="136" t="str">
        <f t="shared" si="5"/>
        <v/>
      </c>
      <c r="E16" s="13"/>
      <c r="F16" s="21" t="e">
        <f>D16*10</f>
        <v>#VALUE!</v>
      </c>
      <c r="G16" s="90"/>
      <c r="H16" s="91" t="str">
        <f t="shared" si="1"/>
        <v/>
      </c>
      <c r="I16" s="91" t="str">
        <f t="shared" si="3"/>
        <v/>
      </c>
      <c r="J16" s="91" t="str">
        <f>IF(B16&gt;0,I16/B16*100,"")</f>
        <v/>
      </c>
      <c r="K16" s="91" t="str">
        <f t="shared" si="2"/>
        <v/>
      </c>
      <c r="M16">
        <v>8</v>
      </c>
      <c r="N16" s="66" t="s">
        <v>58</v>
      </c>
      <c r="O16" s="91" t="str">
        <f t="shared" si="4"/>
        <v/>
      </c>
    </row>
    <row r="17" spans="1:15" ht="18" x14ac:dyDescent="0.25">
      <c r="A17" s="66" t="s">
        <v>77</v>
      </c>
      <c r="B17" s="15">
        <f>TEOR.EQ_A_G_3!I3</f>
        <v>0</v>
      </c>
      <c r="C17" s="15">
        <f>TIG.EQ_At_G_1!I3</f>
        <v>0</v>
      </c>
      <c r="D17" s="136" t="str">
        <f t="shared" si="5"/>
        <v/>
      </c>
      <c r="E17" s="13"/>
      <c r="F17" s="17" t="str">
        <f>D17</f>
        <v/>
      </c>
      <c r="G17" s="90"/>
      <c r="H17" s="91" t="str">
        <f t="shared" si="1"/>
        <v/>
      </c>
      <c r="I17" s="91" t="str">
        <f>IF(C17&gt;0,$B$6*C17/100,"")</f>
        <v/>
      </c>
      <c r="J17" s="91" t="str">
        <f>IF(B17&gt;0,I17/B17*100,"")</f>
        <v/>
      </c>
      <c r="K17" s="91" t="str">
        <f t="shared" si="2"/>
        <v/>
      </c>
      <c r="M17">
        <v>9</v>
      </c>
      <c r="N17" s="66" t="s">
        <v>77</v>
      </c>
      <c r="O17" s="91" t="str">
        <f t="shared" si="4"/>
        <v/>
      </c>
    </row>
    <row r="18" spans="1:15" ht="18" x14ac:dyDescent="0.25">
      <c r="A18" s="66" t="s">
        <v>204</v>
      </c>
      <c r="B18" s="15">
        <f>TEOR.EQ_A_G_3!J3</f>
        <v>0</v>
      </c>
      <c r="C18" s="15">
        <f>TIG.EQ_At_G_1!J3</f>
        <v>0</v>
      </c>
      <c r="D18" s="137" t="str">
        <f t="shared" si="5"/>
        <v/>
      </c>
      <c r="H18" s="91" t="str">
        <f t="shared" si="1"/>
        <v/>
      </c>
      <c r="I18" s="91" t="str">
        <f t="shared" ref="I18:I32" si="6">IF(C18&gt;0,$B$6*C18/100,"")</f>
        <v/>
      </c>
      <c r="J18" s="91" t="str">
        <f t="shared" ref="J18:J32" si="7">IF(B18&gt;0,I18/B18*100,"")</f>
        <v/>
      </c>
      <c r="K18" s="91" t="str">
        <f>IF(H18&gt;H50,(H18-I18),"")</f>
        <v/>
      </c>
      <c r="M18">
        <v>10</v>
      </c>
      <c r="N18" s="66" t="s">
        <v>204</v>
      </c>
      <c r="O18" s="91" t="str">
        <f t="shared" si="4"/>
        <v/>
      </c>
    </row>
    <row r="19" spans="1:15" ht="18" x14ac:dyDescent="0.25">
      <c r="A19" s="66" t="s">
        <v>16</v>
      </c>
      <c r="B19" s="15">
        <f>TEOR.EQ_A_G_3!K3</f>
        <v>0.55826447548179381</v>
      </c>
      <c r="C19" s="15">
        <f>TIG.EQ_At_G_1!K3</f>
        <v>1.6000667006096232</v>
      </c>
      <c r="D19" t="str">
        <f t="shared" si="5"/>
        <v/>
      </c>
      <c r="H19" s="91">
        <f t="shared" si="1"/>
        <v>16.000667006096233</v>
      </c>
      <c r="I19" s="91">
        <f t="shared" si="6"/>
        <v>16.000667006096233</v>
      </c>
      <c r="J19" s="91">
        <f t="shared" si="7"/>
        <v>2866.1445800016786</v>
      </c>
      <c r="K19" s="91">
        <f t="shared" si="2"/>
        <v>0</v>
      </c>
      <c r="M19">
        <v>11</v>
      </c>
      <c r="N19" s="66" t="s">
        <v>16</v>
      </c>
      <c r="O19" s="91" t="str">
        <f t="shared" si="4"/>
        <v/>
      </c>
    </row>
    <row r="20" spans="1:15" ht="18" x14ac:dyDescent="0.25">
      <c r="A20" s="66" t="s">
        <v>12</v>
      </c>
      <c r="B20" s="15">
        <f>TEOR.EQ_A_G_3!L3</f>
        <v>0</v>
      </c>
      <c r="C20" s="15">
        <f>TIG.EQ_At_G_1!L3</f>
        <v>0</v>
      </c>
      <c r="D20" t="str">
        <f t="shared" si="5"/>
        <v/>
      </c>
      <c r="H20" s="91" t="str">
        <f t="shared" si="1"/>
        <v/>
      </c>
      <c r="I20" s="91" t="str">
        <f t="shared" si="6"/>
        <v/>
      </c>
      <c r="J20" s="91" t="str">
        <f t="shared" si="7"/>
        <v/>
      </c>
      <c r="K20" s="91" t="str">
        <f t="shared" si="2"/>
        <v/>
      </c>
      <c r="M20">
        <v>12</v>
      </c>
      <c r="N20" s="66" t="s">
        <v>12</v>
      </c>
      <c r="O20" s="91" t="str">
        <f t="shared" si="4"/>
        <v/>
      </c>
    </row>
    <row r="21" spans="1:15" ht="18" x14ac:dyDescent="0.25">
      <c r="A21" s="66" t="s">
        <v>44</v>
      </c>
      <c r="B21" s="15">
        <f>TEOR.EQ_A_G_3!M3</f>
        <v>26.471301603480914</v>
      </c>
      <c r="C21" s="15">
        <f>TIG.EQ_At_G_1!M3</f>
        <v>1.3000541942453192</v>
      </c>
      <c r="D21">
        <f t="shared" si="5"/>
        <v>745.70523422161239</v>
      </c>
      <c r="H21" s="91">
        <f t="shared" si="1"/>
        <v>758.70577616406558</v>
      </c>
      <c r="I21" s="91">
        <f t="shared" si="6"/>
        <v>13.000541942453191</v>
      </c>
      <c r="J21" s="91">
        <f t="shared" si="7"/>
        <v>49.111834911599701</v>
      </c>
      <c r="K21" s="91">
        <f t="shared" si="2"/>
        <v>745.70523422161239</v>
      </c>
      <c r="M21">
        <v>13</v>
      </c>
      <c r="N21" s="66" t="s">
        <v>44</v>
      </c>
      <c r="O21" s="91">
        <f t="shared" si="4"/>
        <v>745.70523422161239</v>
      </c>
    </row>
    <row r="22" spans="1:15" ht="18" x14ac:dyDescent="0.25">
      <c r="A22" s="66" t="s">
        <v>55</v>
      </c>
      <c r="B22" s="15">
        <f>TEOR.EQ_A_G_3!N3</f>
        <v>0.97501608216117241</v>
      </c>
      <c r="C22" s="15">
        <f>TIG.EQ_At_G_1!N3</f>
        <v>0.19000792069739278</v>
      </c>
      <c r="D22" t="str">
        <f t="shared" si="5"/>
        <v/>
      </c>
      <c r="H22" s="91">
        <f t="shared" si="1"/>
        <v>27.945370593007155</v>
      </c>
      <c r="I22" s="91">
        <f t="shared" si="6"/>
        <v>1.9000792069739278</v>
      </c>
      <c r="J22" s="91">
        <f t="shared" si="7"/>
        <v>194.87670426546259</v>
      </c>
      <c r="K22" s="91" t="str">
        <f t="shared" si="2"/>
        <v/>
      </c>
      <c r="M22">
        <v>14</v>
      </c>
      <c r="N22" s="66" t="s">
        <v>55</v>
      </c>
      <c r="O22" s="91" t="str">
        <f t="shared" si="4"/>
        <v/>
      </c>
    </row>
    <row r="23" spans="1:15" ht="18" x14ac:dyDescent="0.25">
      <c r="A23" s="66" t="s">
        <v>17</v>
      </c>
      <c r="B23" s="15">
        <f>TEOR.EQ_A_G_3!O3</f>
        <v>0</v>
      </c>
      <c r="C23" s="15">
        <f>TIG.EQ_At_G_1!O3</f>
        <v>0</v>
      </c>
      <c r="D23" t="str">
        <f t="shared" si="5"/>
        <v/>
      </c>
      <c r="H23" s="91" t="str">
        <f t="shared" si="1"/>
        <v/>
      </c>
      <c r="I23" s="91" t="str">
        <f t="shared" si="6"/>
        <v/>
      </c>
      <c r="J23" s="91" t="str">
        <f t="shared" si="7"/>
        <v/>
      </c>
      <c r="K23" s="91" t="str">
        <f>IF(H23&gt;H65,(H23-I23),"")</f>
        <v/>
      </c>
      <c r="M23">
        <v>15</v>
      </c>
      <c r="N23" s="66" t="s">
        <v>17</v>
      </c>
      <c r="O23" s="91" t="str">
        <f t="shared" si="4"/>
        <v/>
      </c>
    </row>
    <row r="24" spans="1:15" ht="18" x14ac:dyDescent="0.25">
      <c r="A24" s="66" t="s">
        <v>80</v>
      </c>
      <c r="B24" s="15">
        <f>TEOR.EQ_A_G_3!P3</f>
        <v>0</v>
      </c>
      <c r="C24" s="15">
        <f>TIG.EQ_At_G_1!P3</f>
        <v>5.2002167769812764E-2</v>
      </c>
      <c r="D24" t="str">
        <f t="shared" si="5"/>
        <v/>
      </c>
      <c r="E24" t="s">
        <v>90</v>
      </c>
      <c r="F24" s="3"/>
      <c r="G24" s="3"/>
      <c r="H24" s="91" t="str">
        <f t="shared" si="1"/>
        <v/>
      </c>
      <c r="I24" s="91">
        <f t="shared" si="6"/>
        <v>0.52002167769812768</v>
      </c>
      <c r="J24" s="91" t="str">
        <f t="shared" si="7"/>
        <v/>
      </c>
      <c r="K24" s="91" t="str">
        <f>IF(H24&gt;H66,(H24-I24),"")</f>
        <v/>
      </c>
      <c r="L24" s="3"/>
      <c r="M24">
        <v>16</v>
      </c>
      <c r="N24" s="66" t="s">
        <v>80</v>
      </c>
      <c r="O24" s="91" t="str">
        <f t="shared" si="4"/>
        <v/>
      </c>
    </row>
    <row r="25" spans="1:15" ht="18" x14ac:dyDescent="0.25">
      <c r="A25" s="66" t="s">
        <v>81</v>
      </c>
      <c r="B25" s="15">
        <f>TEOR.EQ_A_G_3!Q3</f>
        <v>0</v>
      </c>
      <c r="C25" s="15">
        <f>TIG.EQ_At_G_1!Q3</f>
        <v>0</v>
      </c>
      <c r="D25" t="str">
        <f t="shared" si="5"/>
        <v/>
      </c>
      <c r="F25" s="69"/>
      <c r="G25" s="69"/>
      <c r="H25" s="91" t="str">
        <f t="shared" si="1"/>
        <v/>
      </c>
      <c r="I25" s="91" t="str">
        <f t="shared" si="6"/>
        <v/>
      </c>
      <c r="J25" s="91" t="str">
        <f t="shared" si="7"/>
        <v/>
      </c>
      <c r="K25" s="91" t="str">
        <f t="shared" si="2"/>
        <v/>
      </c>
      <c r="L25" s="69"/>
      <c r="M25">
        <v>17</v>
      </c>
      <c r="N25" s="66" t="s">
        <v>81</v>
      </c>
      <c r="O25" s="91" t="str">
        <f t="shared" si="4"/>
        <v/>
      </c>
    </row>
    <row r="26" spans="1:15" ht="18" x14ac:dyDescent="0.25">
      <c r="A26" s="66" t="s">
        <v>82</v>
      </c>
      <c r="B26" s="15">
        <f>TEOR.EQ_A_G_3!R3</f>
        <v>0</v>
      </c>
      <c r="C26" s="15">
        <f>TIG.EQ_At_G_1!R3</f>
        <v>0</v>
      </c>
      <c r="D26" t="str">
        <f t="shared" si="5"/>
        <v/>
      </c>
      <c r="E26" t="s">
        <v>91</v>
      </c>
      <c r="F26" s="4"/>
      <c r="G26" s="4"/>
      <c r="H26" s="91" t="str">
        <f t="shared" si="1"/>
        <v/>
      </c>
      <c r="I26" s="91" t="str">
        <f t="shared" si="6"/>
        <v/>
      </c>
      <c r="J26" s="91" t="str">
        <f t="shared" si="7"/>
        <v/>
      </c>
      <c r="K26" s="91" t="str">
        <f t="shared" si="2"/>
        <v/>
      </c>
      <c r="L26" s="4"/>
      <c r="M26">
        <v>18</v>
      </c>
      <c r="N26" s="66" t="s">
        <v>82</v>
      </c>
      <c r="O26" s="91" t="str">
        <f t="shared" si="4"/>
        <v/>
      </c>
    </row>
    <row r="27" spans="1:15" ht="18" x14ac:dyDescent="0.25">
      <c r="A27" s="66" t="s">
        <v>83</v>
      </c>
      <c r="B27" s="15">
        <f>TEOR.EQ_A_G_3!S3</f>
        <v>0</v>
      </c>
      <c r="C27" s="15">
        <f>TIG.EQ_At_G_1!S3</f>
        <v>0</v>
      </c>
      <c r="D27" t="str">
        <f t="shared" si="5"/>
        <v/>
      </c>
      <c r="H27" s="91" t="str">
        <f t="shared" si="1"/>
        <v/>
      </c>
      <c r="I27" s="91" t="str">
        <f t="shared" si="6"/>
        <v/>
      </c>
      <c r="J27" s="91" t="str">
        <f t="shared" si="7"/>
        <v/>
      </c>
      <c r="K27" s="91" t="str">
        <f t="shared" si="2"/>
        <v/>
      </c>
      <c r="M27">
        <v>19</v>
      </c>
      <c r="N27" s="66" t="s">
        <v>83</v>
      </c>
      <c r="O27" s="91" t="str">
        <f t="shared" si="4"/>
        <v/>
      </c>
    </row>
    <row r="28" spans="1:15" ht="18" x14ac:dyDescent="0.25">
      <c r="A28" s="66" t="s">
        <v>45</v>
      </c>
      <c r="B28" s="15">
        <f>TEOR.EQ_A_G_3!T3</f>
        <v>0</v>
      </c>
      <c r="C28" s="15">
        <f>TIG.EQ_At_G_1!T3</f>
        <v>0</v>
      </c>
      <c r="D28" t="str">
        <f t="shared" si="5"/>
        <v/>
      </c>
      <c r="H28" s="91" t="str">
        <f t="shared" si="1"/>
        <v/>
      </c>
      <c r="I28" s="91" t="str">
        <f t="shared" si="6"/>
        <v/>
      </c>
      <c r="J28" s="91" t="str">
        <f t="shared" si="7"/>
        <v/>
      </c>
      <c r="K28" s="91" t="str">
        <f t="shared" si="2"/>
        <v/>
      </c>
      <c r="M28">
        <v>20</v>
      </c>
      <c r="N28" s="66" t="s">
        <v>45</v>
      </c>
      <c r="O28" s="91" t="str">
        <f t="shared" si="4"/>
        <v/>
      </c>
    </row>
    <row r="29" spans="1:15" ht="18" x14ac:dyDescent="0.25">
      <c r="A29" s="66" t="s">
        <v>43</v>
      </c>
      <c r="B29" s="15">
        <f>TEOR.EQ_A_G_3!U3</f>
        <v>0</v>
      </c>
      <c r="C29" s="15">
        <f>TIG.EQ_At_G_1!U3</f>
        <v>0</v>
      </c>
      <c r="D29" t="str">
        <f t="shared" si="5"/>
        <v/>
      </c>
      <c r="H29" s="91" t="str">
        <f t="shared" si="1"/>
        <v/>
      </c>
      <c r="I29" s="91" t="str">
        <f t="shared" si="6"/>
        <v/>
      </c>
      <c r="J29" s="91" t="str">
        <f t="shared" si="7"/>
        <v/>
      </c>
      <c r="K29" s="91" t="str">
        <f t="shared" si="2"/>
        <v/>
      </c>
      <c r="M29">
        <v>21</v>
      </c>
      <c r="N29" s="66" t="s">
        <v>43</v>
      </c>
      <c r="O29" s="91" t="str">
        <f t="shared" si="4"/>
        <v/>
      </c>
    </row>
    <row r="30" spans="1:15" ht="18" x14ac:dyDescent="0.25">
      <c r="A30" s="66" t="s">
        <v>13</v>
      </c>
      <c r="B30" s="15">
        <f>TEOR.EQ_A_G_3!V3</f>
        <v>0</v>
      </c>
      <c r="C30" s="15">
        <f>TIG.EQ_At_G_1!V3</f>
        <v>0</v>
      </c>
      <c r="D30" t="str">
        <f t="shared" si="5"/>
        <v/>
      </c>
      <c r="H30" s="91" t="str">
        <f t="shared" si="1"/>
        <v/>
      </c>
      <c r="I30" s="91" t="str">
        <f t="shared" si="6"/>
        <v/>
      </c>
      <c r="J30" s="91" t="str">
        <f t="shared" si="7"/>
        <v/>
      </c>
      <c r="K30" s="91" t="str">
        <f t="shared" si="2"/>
        <v/>
      </c>
      <c r="M30">
        <v>22</v>
      </c>
      <c r="N30" s="66" t="s">
        <v>13</v>
      </c>
      <c r="O30" s="91" t="str">
        <f t="shared" si="4"/>
        <v/>
      </c>
    </row>
    <row r="31" spans="1:15" ht="18" x14ac:dyDescent="0.25">
      <c r="A31" s="66" t="s">
        <v>0</v>
      </c>
      <c r="B31" s="15">
        <f>TEOR.EQ_A_G_3!W3</f>
        <v>0</v>
      </c>
      <c r="C31" s="15">
        <f>TIG.EQ_At_G_1!W3</f>
        <v>0</v>
      </c>
      <c r="D31" t="str">
        <f t="shared" si="5"/>
        <v/>
      </c>
      <c r="H31" s="91" t="str">
        <f t="shared" si="1"/>
        <v/>
      </c>
      <c r="I31" s="91" t="str">
        <f t="shared" si="6"/>
        <v/>
      </c>
      <c r="J31" s="91" t="str">
        <f t="shared" si="7"/>
        <v/>
      </c>
      <c r="K31" s="91" t="str">
        <f t="shared" si="2"/>
        <v/>
      </c>
      <c r="M31">
        <v>23</v>
      </c>
      <c r="N31" s="66" t="s">
        <v>0</v>
      </c>
      <c r="O31" s="91" t="str">
        <f t="shared" si="4"/>
        <v/>
      </c>
    </row>
    <row r="32" spans="1:15" ht="18" x14ac:dyDescent="0.25">
      <c r="A32" s="66" t="s">
        <v>11</v>
      </c>
      <c r="B32" s="15">
        <f>TEOR.EQ_A_G_3!X3</f>
        <v>0</v>
      </c>
      <c r="C32" s="15">
        <f>TIG.EQ_At_G_1!X3</f>
        <v>0</v>
      </c>
      <c r="D32" t="str">
        <f t="shared" si="5"/>
        <v/>
      </c>
      <c r="H32" s="91" t="str">
        <f t="shared" si="1"/>
        <v/>
      </c>
      <c r="I32" s="91" t="str">
        <f t="shared" si="6"/>
        <v/>
      </c>
      <c r="J32" s="91" t="str">
        <f t="shared" si="7"/>
        <v/>
      </c>
      <c r="K32" s="91" t="str">
        <f>IF(H32&gt;H64,(H32-I32),"")</f>
        <v/>
      </c>
      <c r="M32">
        <v>24</v>
      </c>
      <c r="N32" s="66" t="s">
        <v>11</v>
      </c>
      <c r="O32" s="91" t="str">
        <f t="shared" si="4"/>
        <v/>
      </c>
    </row>
    <row r="33" spans="1:26" ht="18" x14ac:dyDescent="0.25">
      <c r="A33" s="66" t="s">
        <v>10</v>
      </c>
      <c r="B33" s="15">
        <f>TEOR.EQ_A_G_3!Y3</f>
        <v>0</v>
      </c>
      <c r="C33" s="15">
        <f>TIG.EQ_At_G_1!Y3</f>
        <v>0</v>
      </c>
      <c r="D33">
        <f>IF(K34&gt;0,K34,"")</f>
        <v>1854.9199064300415</v>
      </c>
      <c r="E33" s="17" t="e">
        <f>D15-F33</f>
        <v>#VALUE!</v>
      </c>
      <c r="F33" s="17" t="e">
        <f>(F14-D14)+(F13-D13)</f>
        <v>#VALUE!</v>
      </c>
      <c r="G33" s="90" t="s">
        <v>30</v>
      </c>
      <c r="H33" s="91">
        <f>SUM(H9:H32)</f>
        <v>2866.1445800016782</v>
      </c>
      <c r="I33" s="91">
        <f>SUM(I9:I32)</f>
        <v>1000</v>
      </c>
      <c r="J33" s="91">
        <f>MAX(J9:J32)</f>
        <v>2866.1445800016786</v>
      </c>
      <c r="K33" s="91">
        <f>IF(H33&gt;H65,(H33-I33),"")</f>
        <v>1866.1445800016782</v>
      </c>
      <c r="M33">
        <v>25</v>
      </c>
      <c r="N33" s="66" t="s">
        <v>10</v>
      </c>
      <c r="O33" s="91">
        <f t="shared" si="4"/>
        <v>1854.9199064300415</v>
      </c>
    </row>
    <row r="34" spans="1:26" x14ac:dyDescent="0.25">
      <c r="B34" s="14">
        <f>SUM(B9:B33)</f>
        <v>99.999999999999986</v>
      </c>
      <c r="C34" s="14">
        <f>SUM(C9:C32)</f>
        <v>100.00000000000001</v>
      </c>
      <c r="D34" s="18">
        <f>SUM(D10:D33)</f>
        <v>2697.7660247068065</v>
      </c>
      <c r="G34" s="337" t="s">
        <v>31</v>
      </c>
      <c r="H34" s="338"/>
      <c r="I34" s="91"/>
      <c r="J34" s="91">
        <f>IF(B6&gt;0,B6+D33,"")</f>
        <v>2854.9199064300415</v>
      </c>
      <c r="K34" s="91">
        <f>SUM(K9:K32)</f>
        <v>1854.9199064300415</v>
      </c>
      <c r="O34" s="91">
        <f t="shared" si="4"/>
        <v>2697.7660247068065</v>
      </c>
    </row>
    <row r="35" spans="1:26" ht="18" x14ac:dyDescent="0.25">
      <c r="A35">
        <f>'OK OK'!A3</f>
        <v>0</v>
      </c>
      <c r="B35" s="210" t="s">
        <v>14</v>
      </c>
      <c r="C35" s="210" t="s">
        <v>15</v>
      </c>
      <c r="D35" s="210" t="s">
        <v>8</v>
      </c>
      <c r="E35" s="210" t="s">
        <v>9</v>
      </c>
      <c r="F35" s="210" t="s">
        <v>234</v>
      </c>
      <c r="G35" s="210" t="s">
        <v>56</v>
      </c>
      <c r="H35" s="210" t="s">
        <v>57</v>
      </c>
      <c r="I35" s="210" t="s">
        <v>58</v>
      </c>
      <c r="J35" s="210" t="s">
        <v>77</v>
      </c>
      <c r="K35" s="210" t="s">
        <v>204</v>
      </c>
      <c r="L35" s="210" t="s">
        <v>16</v>
      </c>
      <c r="M35" s="210" t="s">
        <v>12</v>
      </c>
      <c r="N35" s="210" t="s">
        <v>44</v>
      </c>
      <c r="O35" s="210" t="s">
        <v>55</v>
      </c>
      <c r="P35" s="210" t="s">
        <v>17</v>
      </c>
      <c r="Q35" s="210" t="s">
        <v>80</v>
      </c>
      <c r="R35" s="210" t="s">
        <v>81</v>
      </c>
      <c r="S35" s="210" t="s">
        <v>82</v>
      </c>
      <c r="T35" s="210" t="s">
        <v>83</v>
      </c>
      <c r="U35" s="210" t="s">
        <v>45</v>
      </c>
      <c r="V35" s="210" t="s">
        <v>43</v>
      </c>
      <c r="W35" s="210" t="s">
        <v>13</v>
      </c>
      <c r="X35" s="210" t="s">
        <v>0</v>
      </c>
      <c r="Y35" s="210" t="s">
        <v>11</v>
      </c>
      <c r="Z35" s="210" t="s">
        <v>10</v>
      </c>
    </row>
    <row r="36" spans="1:26" x14ac:dyDescent="0.25">
      <c r="A36" s="124" t="str">
        <f>'OK OK'!A4</f>
        <v>Composition in the crucible</v>
      </c>
      <c r="B36">
        <f>'OK OK'!B4</f>
        <v>94.328499999999991</v>
      </c>
      <c r="C36">
        <f>'OK OK'!C4</f>
        <v>0.89</v>
      </c>
      <c r="D36">
        <f>'OK OK'!D4</f>
        <v>1.43</v>
      </c>
      <c r="E36">
        <f>'OK OK'!E4</f>
        <v>0</v>
      </c>
      <c r="F36">
        <f>'OK OK'!F4</f>
        <v>0</v>
      </c>
      <c r="G36">
        <f>'OK OK'!G4</f>
        <v>0.2</v>
      </c>
      <c r="H36">
        <f>'OK OK'!H4</f>
        <v>5.0000000000000001E-3</v>
      </c>
      <c r="I36">
        <f>'OK OK'!I4</f>
        <v>1E-3</v>
      </c>
      <c r="J36">
        <f>'OK OK'!J4</f>
        <v>1E-3</v>
      </c>
      <c r="K36">
        <f>'OK OK'!K4</f>
        <v>1.5E-3</v>
      </c>
      <c r="L36">
        <f>'OK OK'!L4</f>
        <v>1.6</v>
      </c>
      <c r="M36">
        <f>'OK OK'!M4</f>
        <v>1E-3</v>
      </c>
      <c r="N36">
        <f>'OK OK'!N4</f>
        <v>1.3</v>
      </c>
      <c r="O36">
        <f>'OK OK'!O4</f>
        <v>0.19</v>
      </c>
      <c r="P36">
        <f>'OK OK'!P4</f>
        <v>0</v>
      </c>
      <c r="Q36">
        <f>'OK OK'!Q4</f>
        <v>5.1999999999999998E-2</v>
      </c>
      <c r="R36">
        <f>'OK OK'!R4</f>
        <v>0</v>
      </c>
      <c r="S36">
        <f>'OK OK'!S4</f>
        <v>0</v>
      </c>
      <c r="T36">
        <f>'OK OK'!T4</f>
        <v>0</v>
      </c>
      <c r="U36">
        <f>'OK OK'!U4</f>
        <v>0</v>
      </c>
      <c r="V36">
        <f>'OK OK'!V4</f>
        <v>0</v>
      </c>
      <c r="W36">
        <f>'OK OK'!W4</f>
        <v>0</v>
      </c>
      <c r="X36">
        <f>'OK OK'!X4</f>
        <v>0</v>
      </c>
      <c r="Y36">
        <f>'OK OK'!Y4</f>
        <v>0</v>
      </c>
      <c r="Z36">
        <f>'OK OK'!Z4</f>
        <v>0</v>
      </c>
    </row>
    <row r="37" spans="1:26" x14ac:dyDescent="0.25">
      <c r="A37" s="96" t="s">
        <v>165</v>
      </c>
      <c r="B37">
        <f>100-C37-D37-E37-F37-G37-H37-I37-J37-K37-L37-M37-N37-O37-P37-Q37-R37-S37-T37-U37-V37-W37-X37-Y37-Z37</f>
        <v>98.021209383653385</v>
      </c>
      <c r="C37">
        <f>C36/G6</f>
        <v>0.31052166949633742</v>
      </c>
      <c r="D37">
        <f>D36/G6</f>
        <v>0.49892807570759828</v>
      </c>
      <c r="E37">
        <f>E36/G6</f>
        <v>0</v>
      </c>
      <c r="F37">
        <f>F36/G6</f>
        <v>0</v>
      </c>
      <c r="G37">
        <f>G36/G6</f>
        <v>6.9780150448615158E-2</v>
      </c>
      <c r="H37">
        <f>H36/G6</f>
        <v>1.7445037612153788E-3</v>
      </c>
      <c r="I37">
        <f>I36/G6</f>
        <v>3.4890075224307574E-4</v>
      </c>
      <c r="J37">
        <f>J36/G6</f>
        <v>3.4890075224307574E-4</v>
      </c>
      <c r="K37">
        <f>K36/G6</f>
        <v>5.2335112836461367E-4</v>
      </c>
      <c r="L37">
        <f>L36/G6</f>
        <v>0.55824120358892126</v>
      </c>
      <c r="M37">
        <f>M36/G6</f>
        <v>3.4890075224307574E-4</v>
      </c>
      <c r="N37">
        <f>N36/G6</f>
        <v>0.45357097791599849</v>
      </c>
      <c r="O37">
        <f>O36/G6</f>
        <v>6.629114292618439E-2</v>
      </c>
      <c r="P37">
        <f>P36/G6</f>
        <v>0</v>
      </c>
      <c r="Q37">
        <f>Q36/G6</f>
        <v>1.8142839116639938E-2</v>
      </c>
      <c r="R37">
        <f>R36/G6</f>
        <v>0</v>
      </c>
      <c r="S37">
        <f>S36/G6</f>
        <v>0</v>
      </c>
      <c r="T37">
        <f>T36/G6</f>
        <v>0</v>
      </c>
      <c r="U37">
        <f>U36/G6</f>
        <v>0</v>
      </c>
      <c r="V37">
        <f>V36/G6</f>
        <v>0</v>
      </c>
      <c r="W37">
        <f>W36/G6</f>
        <v>0</v>
      </c>
      <c r="X37">
        <f>X36/G6</f>
        <v>0</v>
      </c>
      <c r="Y37">
        <f>Y36/G6</f>
        <v>0</v>
      </c>
      <c r="Z37">
        <f>Z36/G6</f>
        <v>0</v>
      </c>
    </row>
    <row r="54" spans="1:51" ht="18.75" x14ac:dyDescent="0.3">
      <c r="B54" s="210" t="s">
        <v>14</v>
      </c>
      <c r="C54" s="210" t="s">
        <v>15</v>
      </c>
      <c r="D54" s="210" t="s">
        <v>8</v>
      </c>
      <c r="E54" s="210" t="s">
        <v>9</v>
      </c>
      <c r="F54" s="210" t="s">
        <v>234</v>
      </c>
      <c r="G54" s="210" t="s">
        <v>56</v>
      </c>
      <c r="H54" s="210" t="s">
        <v>57</v>
      </c>
      <c r="I54" s="210" t="s">
        <v>58</v>
      </c>
      <c r="J54" s="210" t="s">
        <v>77</v>
      </c>
      <c r="K54" s="210" t="s">
        <v>204</v>
      </c>
      <c r="L54" s="210" t="s">
        <v>16</v>
      </c>
      <c r="M54" s="210" t="s">
        <v>12</v>
      </c>
      <c r="N54" s="210" t="s">
        <v>44</v>
      </c>
      <c r="O54" s="210" t="s">
        <v>55</v>
      </c>
      <c r="P54" s="210" t="s">
        <v>17</v>
      </c>
      <c r="Q54" s="210" t="s">
        <v>80</v>
      </c>
      <c r="R54" s="210" t="s">
        <v>81</v>
      </c>
      <c r="S54" s="210" t="s">
        <v>82</v>
      </c>
      <c r="T54" s="210" t="s">
        <v>83</v>
      </c>
      <c r="U54" s="210" t="s">
        <v>45</v>
      </c>
      <c r="V54" s="210" t="s">
        <v>43</v>
      </c>
      <c r="W54" s="210" t="s">
        <v>13</v>
      </c>
      <c r="X54" s="210" t="s">
        <v>0</v>
      </c>
      <c r="Y54" s="210" t="s">
        <v>11</v>
      </c>
      <c r="Z54" s="210" t="s">
        <v>10</v>
      </c>
      <c r="AA54" s="211" t="s">
        <v>14</v>
      </c>
      <c r="AB54" s="212" t="s">
        <v>15</v>
      </c>
      <c r="AC54" s="213" t="s">
        <v>8</v>
      </c>
      <c r="AD54" s="214" t="s">
        <v>9</v>
      </c>
      <c r="AE54" s="213" t="s">
        <v>234</v>
      </c>
      <c r="AF54" s="213" t="s">
        <v>56</v>
      </c>
      <c r="AG54" s="214" t="s">
        <v>57</v>
      </c>
      <c r="AH54" s="213" t="s">
        <v>58</v>
      </c>
      <c r="AI54" s="215" t="s">
        <v>77</v>
      </c>
      <c r="AJ54" s="216" t="s">
        <v>204</v>
      </c>
      <c r="AK54" s="216" t="s">
        <v>16</v>
      </c>
      <c r="AL54" s="210" t="s">
        <v>13</v>
      </c>
      <c r="AM54" s="215" t="s">
        <v>44</v>
      </c>
      <c r="AN54" s="216" t="s">
        <v>55</v>
      </c>
      <c r="AO54" s="210" t="s">
        <v>17</v>
      </c>
      <c r="AP54" s="210" t="s">
        <v>80</v>
      </c>
      <c r="AQ54" s="210" t="s">
        <v>81</v>
      </c>
      <c r="AR54" s="210" t="s">
        <v>82</v>
      </c>
      <c r="AS54" s="210" t="s">
        <v>83</v>
      </c>
      <c r="AT54" s="210" t="s">
        <v>45</v>
      </c>
      <c r="AU54" s="210" t="s">
        <v>43</v>
      </c>
      <c r="AV54" s="210" t="s">
        <v>12</v>
      </c>
      <c r="AW54" s="210" t="s">
        <v>0</v>
      </c>
      <c r="AX54" s="210" t="s">
        <v>11</v>
      </c>
      <c r="AY54" s="210" t="s">
        <v>10</v>
      </c>
    </row>
    <row r="55" spans="1:51" ht="18.75" x14ac:dyDescent="0.3">
      <c r="B55" s="36">
        <f>100-C55-D55-E55-F55-G55-H55-I55-J55-K55-L55-M55-N55-O55-P55-Q55-R55-S55-T55-U55-V55-W55-X55-Y55-Z55</f>
        <v>98.021209383653385</v>
      </c>
      <c r="C55" s="37">
        <f>C37</f>
        <v>0.31052166949633742</v>
      </c>
      <c r="D55" s="37">
        <f t="shared" ref="D55:Z55" si="8">D37</f>
        <v>0.49892807570759828</v>
      </c>
      <c r="E55" s="37">
        <f t="shared" si="8"/>
        <v>0</v>
      </c>
      <c r="F55" s="37">
        <f t="shared" si="8"/>
        <v>0</v>
      </c>
      <c r="G55" s="37">
        <f t="shared" si="8"/>
        <v>6.9780150448615158E-2</v>
      </c>
      <c r="H55" s="37">
        <f t="shared" si="8"/>
        <v>1.7445037612153788E-3</v>
      </c>
      <c r="I55" s="37">
        <f t="shared" si="8"/>
        <v>3.4890075224307574E-4</v>
      </c>
      <c r="J55" s="37">
        <f t="shared" si="8"/>
        <v>3.4890075224307574E-4</v>
      </c>
      <c r="K55" s="37">
        <f t="shared" si="8"/>
        <v>5.2335112836461367E-4</v>
      </c>
      <c r="L55" s="37">
        <f t="shared" si="8"/>
        <v>0.55824120358892126</v>
      </c>
      <c r="M55" s="37">
        <f t="shared" si="8"/>
        <v>3.4890075224307574E-4</v>
      </c>
      <c r="N55" s="37">
        <f t="shared" si="8"/>
        <v>0.45357097791599849</v>
      </c>
      <c r="O55" s="37">
        <f t="shared" si="8"/>
        <v>6.629114292618439E-2</v>
      </c>
      <c r="P55" s="37">
        <f t="shared" si="8"/>
        <v>0</v>
      </c>
      <c r="Q55" s="37">
        <f t="shared" si="8"/>
        <v>1.8142839116639938E-2</v>
      </c>
      <c r="R55" s="37">
        <f t="shared" si="8"/>
        <v>0</v>
      </c>
      <c r="S55" s="37">
        <f t="shared" si="8"/>
        <v>0</v>
      </c>
      <c r="T55" s="37">
        <f t="shared" si="8"/>
        <v>0</v>
      </c>
      <c r="U55" s="37">
        <f t="shared" si="8"/>
        <v>0</v>
      </c>
      <c r="V55" s="37">
        <f t="shared" si="8"/>
        <v>0</v>
      </c>
      <c r="W55" s="37">
        <f t="shared" si="8"/>
        <v>0</v>
      </c>
      <c r="X55" s="37">
        <f t="shared" si="8"/>
        <v>0</v>
      </c>
      <c r="Y55" s="37">
        <f t="shared" si="8"/>
        <v>0</v>
      </c>
      <c r="Z55" s="37">
        <f t="shared" si="8"/>
        <v>0</v>
      </c>
      <c r="AA55" s="219">
        <v>55.84</v>
      </c>
      <c r="AB55" s="219">
        <v>28.0855</v>
      </c>
      <c r="AC55" s="219">
        <v>58.693399999999997</v>
      </c>
      <c r="AD55" s="219">
        <v>63.545999999999999</v>
      </c>
      <c r="AE55" s="219">
        <v>65.38</v>
      </c>
      <c r="AF55" s="219">
        <v>12.01</v>
      </c>
      <c r="AG55" s="219">
        <v>30.973762000000001</v>
      </c>
      <c r="AH55" s="219">
        <v>32.064999999999998</v>
      </c>
      <c r="AI55" s="219">
        <v>14.0067</v>
      </c>
      <c r="AJ55" s="219">
        <v>10.81</v>
      </c>
      <c r="AK55" s="219">
        <v>54.938043999999998</v>
      </c>
      <c r="AL55" s="219">
        <v>24.305</v>
      </c>
      <c r="AM55" s="219">
        <v>51.996099999999998</v>
      </c>
      <c r="AN55" s="219">
        <v>95.95</v>
      </c>
      <c r="AO55" s="220">
        <v>47.866999999999997</v>
      </c>
      <c r="AP55" s="220">
        <v>50.941499999999998</v>
      </c>
      <c r="AQ55" s="220">
        <v>92.906369999999995</v>
      </c>
      <c r="AR55" s="220">
        <v>183.84</v>
      </c>
      <c r="AS55" s="220">
        <v>180.94788</v>
      </c>
      <c r="AT55" s="220">
        <v>91.224000000000004</v>
      </c>
      <c r="AU55" s="220">
        <v>58.933194999999998</v>
      </c>
      <c r="AV55" s="220">
        <v>26.981539999999999</v>
      </c>
      <c r="AW55" s="219">
        <v>121.76</v>
      </c>
      <c r="AX55" s="219">
        <v>207.2</v>
      </c>
      <c r="AY55" s="219">
        <v>118.71</v>
      </c>
    </row>
    <row r="56" spans="1:51" ht="18.75" x14ac:dyDescent="0.3">
      <c r="A56" s="96" t="s">
        <v>166</v>
      </c>
      <c r="B56" s="36">
        <f>100*((((B55)/(AA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97.475997654938126</v>
      </c>
      <c r="C56" s="36">
        <f>100*((((C55)/(AB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0.61394970417600059</v>
      </c>
      <c r="D56" s="36">
        <f>100*((((D55)/(AC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0.47203229970554161</v>
      </c>
      <c r="E56" s="36">
        <f>100*((((E55)/(AD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F56" s="36">
        <f>100*((((F55)/(AE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G56" s="36">
        <f>100*((((G55)/(AF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0.32263533977556286</v>
      </c>
      <c r="H56" s="36">
        <f>100*((((H55)/(AG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3.1275264776559181E-3</v>
      </c>
      <c r="I56" s="36">
        <f>100*((((I55)/(AH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6.0421806185942764E-4</v>
      </c>
      <c r="J56" s="36">
        <f>100*((((J55)/(AI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1.3832131875118727E-3</v>
      </c>
      <c r="K56" s="36">
        <f>100*((((K55)/(AJ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2.6883791147348586E-3</v>
      </c>
      <c r="L56" s="36">
        <f>100*((((L55)/(AK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0.56425022058732344</v>
      </c>
      <c r="M56" s="36">
        <f>100*((((M55)/(AL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7.9713030872341267E-4</v>
      </c>
      <c r="N56" s="36">
        <f>100*((((N55)/(AM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0.48439263328556009</v>
      </c>
      <c r="O56" s="36">
        <f>100*((((O55)/(AN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3.8364855749549592E-2</v>
      </c>
      <c r="P56" s="36">
        <f>100*((((P55)/(AO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Q56" s="36">
        <f>100*((((Q55)/(AP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1.9776824631845793E-2</v>
      </c>
      <c r="R56" s="36">
        <f>100*((((R55)/(AQ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S56" s="36">
        <f>100*((((S55)/(AR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T56" s="36">
        <f>100*((((T55)/(AS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U56" s="36">
        <f>100*((((U55)/(AT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V56" s="36">
        <f>100*((((V55)/(AU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W56" s="36">
        <f>100*((((W55)/(AV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X56" s="7">
        <f>100*((((X55)/(AW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Y56" s="7">
        <f>100*((((Y55)/(AX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Z56" s="7">
        <f>100*((((Z55)/(AY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</sheetData>
  <mergeCells count="1">
    <mergeCell ref="G34:H34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79784-E0EB-48EC-8E02-C8C4BB0AA918}">
  <dimension ref="A1:AY56"/>
  <sheetViews>
    <sheetView zoomScale="82" zoomScaleNormal="82" workbookViewId="0">
      <selection activeCell="T23" sqref="T23"/>
    </sheetView>
  </sheetViews>
  <sheetFormatPr baseColWidth="10" defaultRowHeight="15" x14ac:dyDescent="0.25"/>
  <cols>
    <col min="1" max="1" width="21" customWidth="1"/>
    <col min="4" max="4" width="13.5703125" customWidth="1"/>
    <col min="5" max="5" width="12.5703125" customWidth="1"/>
    <col min="6" max="6" width="13.5703125" customWidth="1"/>
  </cols>
  <sheetData>
    <row r="1" spans="1:51" ht="18.75" x14ac:dyDescent="0.3">
      <c r="A1" s="210" t="s">
        <v>14</v>
      </c>
      <c r="B1" s="210" t="s">
        <v>15</v>
      </c>
      <c r="C1" s="210" t="s">
        <v>8</v>
      </c>
      <c r="D1" s="210" t="s">
        <v>9</v>
      </c>
      <c r="E1" s="210" t="s">
        <v>234</v>
      </c>
      <c r="F1" s="210" t="s">
        <v>56</v>
      </c>
      <c r="G1" s="210" t="s">
        <v>57</v>
      </c>
      <c r="H1" s="210" t="s">
        <v>58</v>
      </c>
      <c r="I1" s="210" t="s">
        <v>77</v>
      </c>
      <c r="J1" s="210" t="s">
        <v>204</v>
      </c>
      <c r="K1" s="210" t="s">
        <v>16</v>
      </c>
      <c r="L1" s="210" t="s">
        <v>12</v>
      </c>
      <c r="M1" s="210" t="s">
        <v>44</v>
      </c>
      <c r="N1" s="210" t="s">
        <v>55</v>
      </c>
      <c r="O1" s="210" t="s">
        <v>17</v>
      </c>
      <c r="P1" s="210" t="s">
        <v>80</v>
      </c>
      <c r="Q1" s="210" t="s">
        <v>81</v>
      </c>
      <c r="R1" s="210" t="s">
        <v>82</v>
      </c>
      <c r="S1" s="210" t="s">
        <v>83</v>
      </c>
      <c r="T1" s="210" t="s">
        <v>45</v>
      </c>
      <c r="U1" s="210" t="s">
        <v>43</v>
      </c>
      <c r="V1" s="210" t="s">
        <v>13</v>
      </c>
      <c r="W1" s="210" t="s">
        <v>0</v>
      </c>
      <c r="X1" s="210" t="s">
        <v>11</v>
      </c>
      <c r="Y1" s="210" t="s">
        <v>10</v>
      </c>
      <c r="Z1" s="211" t="s">
        <v>14</v>
      </c>
      <c r="AA1" s="212" t="s">
        <v>15</v>
      </c>
      <c r="AB1" s="213" t="s">
        <v>8</v>
      </c>
      <c r="AC1" s="214" t="s">
        <v>9</v>
      </c>
      <c r="AD1" s="213" t="s">
        <v>234</v>
      </c>
      <c r="AE1" s="213" t="s">
        <v>56</v>
      </c>
      <c r="AF1" s="214" t="s">
        <v>57</v>
      </c>
      <c r="AG1" s="213" t="s">
        <v>58</v>
      </c>
      <c r="AH1" s="215" t="s">
        <v>77</v>
      </c>
      <c r="AI1" s="216" t="s">
        <v>204</v>
      </c>
      <c r="AJ1" s="216" t="s">
        <v>16</v>
      </c>
      <c r="AK1" s="210" t="s">
        <v>13</v>
      </c>
      <c r="AL1" s="215" t="s">
        <v>44</v>
      </c>
      <c r="AM1" s="216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12</v>
      </c>
      <c r="AV1" s="210" t="s">
        <v>0</v>
      </c>
      <c r="AW1" s="210" t="s">
        <v>11</v>
      </c>
      <c r="AX1" s="210" t="s">
        <v>10</v>
      </c>
      <c r="AY1" s="35"/>
    </row>
    <row r="2" spans="1:51" ht="18.75" x14ac:dyDescent="0.3">
      <c r="A2" s="36">
        <f>100-B2-C2-D2-E2-F2-G2-H2-I2-J2-K2-L2-M2-N2-O2-P2-Q2-R2-S2-T2-U2-V2-W2-X2-Y2</f>
        <v>94.328499999999991</v>
      </c>
      <c r="B2" s="37">
        <f>'OK OK'!C4</f>
        <v>0.89</v>
      </c>
      <c r="C2" s="37">
        <f>'OK OK'!D4</f>
        <v>1.43</v>
      </c>
      <c r="D2" s="37">
        <f>'OK OK'!E4</f>
        <v>0</v>
      </c>
      <c r="E2" s="37">
        <f>'OK OK'!F4</f>
        <v>0</v>
      </c>
      <c r="F2" s="37">
        <f>'OK OK'!G4</f>
        <v>0.2</v>
      </c>
      <c r="G2" s="37">
        <f>'OK OK'!H4</f>
        <v>5.0000000000000001E-3</v>
      </c>
      <c r="H2" s="37">
        <f>'OK OK'!I4</f>
        <v>1E-3</v>
      </c>
      <c r="I2" s="37">
        <f>'OK OK'!J4</f>
        <v>1E-3</v>
      </c>
      <c r="J2" s="37">
        <f>'OK OK'!K4</f>
        <v>1.5E-3</v>
      </c>
      <c r="K2" s="37">
        <f>'OK OK'!L4</f>
        <v>1.6</v>
      </c>
      <c r="L2" s="37">
        <f>'OK OK'!M4</f>
        <v>1E-3</v>
      </c>
      <c r="M2" s="37">
        <f>'OK OK'!N4</f>
        <v>1.3</v>
      </c>
      <c r="N2" s="37">
        <f>'OK OK'!O4</f>
        <v>0.19</v>
      </c>
      <c r="O2" s="37">
        <f>'OK OK'!P4</f>
        <v>0</v>
      </c>
      <c r="P2" s="37">
        <f>'OK OK'!Q4</f>
        <v>5.1999999999999998E-2</v>
      </c>
      <c r="Q2" s="37">
        <f>'OK OK'!R4</f>
        <v>0</v>
      </c>
      <c r="R2" s="37">
        <f>'OK OK'!S4</f>
        <v>0</v>
      </c>
      <c r="S2" s="37">
        <f>'OK OK'!T4</f>
        <v>0</v>
      </c>
      <c r="T2" s="37">
        <f>'OK OK'!U4</f>
        <v>0</v>
      </c>
      <c r="U2" s="37">
        <f>'OK OK'!V4</f>
        <v>0</v>
      </c>
      <c r="V2" s="37">
        <f>'OK OK'!W4</f>
        <v>0</v>
      </c>
      <c r="W2" s="37">
        <f>'OK OK'!X4</f>
        <v>0</v>
      </c>
      <c r="X2" s="37">
        <f>'OK OK'!Y4</f>
        <v>0</v>
      </c>
      <c r="Y2" s="37">
        <f>'OK OK'!Z4</f>
        <v>0</v>
      </c>
      <c r="Z2" s="219">
        <v>55.84</v>
      </c>
      <c r="AA2" s="219">
        <v>28.0855</v>
      </c>
      <c r="AB2" s="219">
        <v>58.693399999999997</v>
      </c>
      <c r="AC2" s="219">
        <v>63.545999999999999</v>
      </c>
      <c r="AD2" s="219">
        <v>65.38</v>
      </c>
      <c r="AE2" s="219">
        <v>12.01</v>
      </c>
      <c r="AF2" s="219">
        <v>30.973762000000001</v>
      </c>
      <c r="AG2" s="219">
        <v>32.064999999999998</v>
      </c>
      <c r="AH2" s="219">
        <v>14.0067</v>
      </c>
      <c r="AI2" s="219">
        <v>10.81</v>
      </c>
      <c r="AJ2" s="219">
        <v>54.938043999999998</v>
      </c>
      <c r="AK2" s="219">
        <v>24.305</v>
      </c>
      <c r="AL2" s="219">
        <v>51.996099999999998</v>
      </c>
      <c r="AM2" s="219">
        <v>95.95</v>
      </c>
      <c r="AN2" s="220">
        <v>47.866999999999997</v>
      </c>
      <c r="AO2" s="220">
        <v>50.941499999999998</v>
      </c>
      <c r="AP2" s="220">
        <v>92.906369999999995</v>
      </c>
      <c r="AQ2" s="220">
        <v>183.84</v>
      </c>
      <c r="AR2" s="220">
        <v>180.94788</v>
      </c>
      <c r="AS2" s="220">
        <v>91.224000000000004</v>
      </c>
      <c r="AT2" s="220">
        <v>58.933194999999998</v>
      </c>
      <c r="AU2" s="220">
        <v>26.981539999999999</v>
      </c>
      <c r="AV2" s="219">
        <v>121.76</v>
      </c>
      <c r="AW2" s="219">
        <v>207.2</v>
      </c>
      <c r="AX2" s="219">
        <v>118.71</v>
      </c>
      <c r="AY2" s="7"/>
    </row>
    <row r="3" spans="1:51" ht="18.75" x14ac:dyDescent="0.3">
      <c r="A3" s="36">
        <f>100*((((A2)/(Z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92.840162287943627</v>
      </c>
      <c r="B3" s="36">
        <f>100*((((B2)/(AA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1.741591189035695</v>
      </c>
      <c r="C3" s="36">
        <f>100*((((C2)/(AB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1.3390140731654472</v>
      </c>
      <c r="D3" s="36">
        <f>100*((((D2)/(AC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E3" s="36">
        <f>100*((((E2)/(AD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F3" s="36">
        <f>100*((((F2)/(AE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0.91521970155323784</v>
      </c>
      <c r="G3" s="36">
        <f>100*((((G2)/(AF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8.8718546811123438E-3</v>
      </c>
      <c r="H3" s="36">
        <f>100*((((H2)/(AG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1.7139854382745025E-3</v>
      </c>
      <c r="I3" s="36">
        <f>100*((((I2)/(AH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3.9237609914021089E-3</v>
      </c>
      <c r="J3" s="36">
        <f>100*((((J2)/(AI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7.6261253115085933E-3</v>
      </c>
      <c r="K3" s="36">
        <f>100*((((K2)/(AJ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1.6006086588236572</v>
      </c>
      <c r="L3" s="36">
        <f>100*((((L2)/(AK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2.2612196288118464E-3</v>
      </c>
      <c r="M3" s="36">
        <f>100*((((M2)/(AL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1.3740766327042508</v>
      </c>
      <c r="N3" s="36">
        <f>100*((((N2)/(AM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0.10882959025400381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P3" s="36">
        <f>100*((((P2)/(AO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5.6100920468972061E-2</v>
      </c>
      <c r="Q3" s="36">
        <f>100*((((Q2)/(AP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R3" s="36">
        <f>100*((((R2)/(AQ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S3" s="36">
        <f>100*((((S2)/(AR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T3" s="36">
        <f>100*((((T2)/(AS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U3" s="36">
        <f>100*((((U2)/(AT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V3" s="36">
        <f>100*((((V2)/(AU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W3" s="7">
        <f>100*((((W2)/(AV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X3" s="7">
        <f>100*((((X2)/(AW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Y3" s="7">
        <f>100*((((Y2)/(AX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51" ht="15.75" x14ac:dyDescent="0.25">
      <c r="A4" s="8" t="s">
        <v>18</v>
      </c>
      <c r="B4" s="9">
        <v>111</v>
      </c>
    </row>
    <row r="5" spans="1:51" ht="15.75" x14ac:dyDescent="0.25">
      <c r="A5" s="8" t="s">
        <v>19</v>
      </c>
      <c r="B5" s="9" t="s">
        <v>79</v>
      </c>
      <c r="C5" s="10"/>
    </row>
    <row r="6" spans="1:51" ht="15.75" x14ac:dyDescent="0.25">
      <c r="A6" s="8" t="s">
        <v>20</v>
      </c>
      <c r="B6" s="9">
        <f>'OK OK'!B13</f>
        <v>1000</v>
      </c>
      <c r="D6" s="8" t="s">
        <v>21</v>
      </c>
      <c r="E6" s="11">
        <f>IF(J33&gt;1,J33,"")</f>
        <v>2866.1072622285251</v>
      </c>
      <c r="F6" s="12" t="s">
        <v>22</v>
      </c>
      <c r="G6">
        <f>E6/B6</f>
        <v>2.8661072622285251</v>
      </c>
    </row>
    <row r="7" spans="1:51" ht="15.75" x14ac:dyDescent="0.25">
      <c r="A7" s="3"/>
      <c r="B7" t="s">
        <v>50</v>
      </c>
      <c r="C7" t="s">
        <v>51</v>
      </c>
    </row>
    <row r="8" spans="1:51" ht="18.75" x14ac:dyDescent="0.3">
      <c r="A8" s="3"/>
      <c r="B8" s="13" t="s">
        <v>23</v>
      </c>
      <c r="C8" s="13" t="s">
        <v>24</v>
      </c>
      <c r="D8" s="13" t="s">
        <v>25</v>
      </c>
      <c r="E8" s="19" t="s">
        <v>38</v>
      </c>
      <c r="F8" s="13" t="s">
        <v>25</v>
      </c>
      <c r="G8" s="10"/>
      <c r="H8" s="14" t="s">
        <v>26</v>
      </c>
      <c r="I8" s="14" t="s">
        <v>27</v>
      </c>
      <c r="J8" s="14" t="s">
        <v>28</v>
      </c>
      <c r="K8" s="14" t="s">
        <v>29</v>
      </c>
      <c r="Z8" s="57"/>
      <c r="AA8" s="58"/>
      <c r="AB8" s="59"/>
      <c r="AC8" s="60"/>
      <c r="AD8" s="59"/>
      <c r="AE8" s="59"/>
      <c r="AF8" s="60"/>
      <c r="AG8" s="59"/>
      <c r="AH8" s="61"/>
      <c r="AI8" s="62"/>
      <c r="AJ8" s="62"/>
      <c r="AK8" s="63"/>
      <c r="AL8" s="63"/>
      <c r="AM8" s="62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</row>
    <row r="9" spans="1:51" ht="18.75" x14ac:dyDescent="0.3">
      <c r="A9" s="66" t="s">
        <v>14</v>
      </c>
      <c r="B9" s="15">
        <f>TEOR.EQ_A_G_4!A3</f>
        <v>68.20596093639314</v>
      </c>
      <c r="C9" s="15">
        <f>TIG.EQ_At_G_1!A3</f>
        <v>94.332432355284283</v>
      </c>
      <c r="D9" s="134">
        <f>IF(K9&gt;0,K9,"")</f>
        <v>1011.5316761178718</v>
      </c>
      <c r="E9" s="13" t="s">
        <v>56</v>
      </c>
      <c r="F9" s="20">
        <f t="shared" ref="F9:F12" si="0">D9</f>
        <v>1011.5316761178718</v>
      </c>
      <c r="G9" s="90"/>
      <c r="H9" s="91">
        <f>IF(B9&gt;0,$J$33*B9/100,"")</f>
        <v>1954.8559996707147</v>
      </c>
      <c r="I9" s="91">
        <f>IF(C9&gt;0,$B$6*C9/100,"")</f>
        <v>943.32432355284288</v>
      </c>
      <c r="J9" s="91">
        <f>IF(B9&gt;0,I9/B9*100,"")</f>
        <v>1383.0526109478308</v>
      </c>
      <c r="K9" s="91">
        <f>IF(H9&gt;H41,(H9-I9),"")</f>
        <v>1011.5316761178718</v>
      </c>
      <c r="M9">
        <v>1</v>
      </c>
      <c r="O9" s="17">
        <f>F9</f>
        <v>1011.5316761178718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V9" s="7"/>
      <c r="AW9" s="7"/>
      <c r="AX9" s="7"/>
    </row>
    <row r="10" spans="1:51" ht="18" x14ac:dyDescent="0.25">
      <c r="A10" s="66" t="s">
        <v>15</v>
      </c>
      <c r="B10" s="15">
        <f>TEOR.EQ_A_G_4!B3</f>
        <v>0.76106779844761652</v>
      </c>
      <c r="C10" s="15">
        <f>TIG.EQ_At_G_1!B3</f>
        <v>0.89003710221410315</v>
      </c>
      <c r="D10" s="134">
        <f>IF(K10&gt;0,K10,"")</f>
        <v>12.912648419648862</v>
      </c>
      <c r="E10" s="13" t="s">
        <v>16</v>
      </c>
      <c r="F10" s="20"/>
      <c r="G10" s="90"/>
      <c r="H10" s="91">
        <f t="shared" ref="H10:H32" si="1">IF(B10&gt;0,$J$33*B10/100,"")</f>
        <v>21.813019441789894</v>
      </c>
      <c r="I10" s="91">
        <f t="shared" ref="I10:I16" si="2">IF(C10&gt;0,$B$6*C10/100,"")</f>
        <v>8.9003710221410319</v>
      </c>
      <c r="J10" s="91">
        <f>IF(B10&gt;0,I10/B10*100,"")</f>
        <v>1169.4583636695063</v>
      </c>
      <c r="K10" s="91">
        <f>IF(H10&gt;H42,(H10-I10),"")</f>
        <v>12.912648419648862</v>
      </c>
      <c r="M10">
        <v>2</v>
      </c>
      <c r="O10" s="17">
        <f>D10</f>
        <v>12.912648419648862</v>
      </c>
    </row>
    <row r="11" spans="1:51" ht="18" x14ac:dyDescent="0.25">
      <c r="A11" s="66" t="s">
        <v>8</v>
      </c>
      <c r="B11" s="15">
        <f>TEOR.EQ_A_G_4!C3</f>
        <v>0</v>
      </c>
      <c r="C11" s="15">
        <f>TIG.EQ_At_G_1!C3</f>
        <v>1.4300596136698511</v>
      </c>
      <c r="D11" s="134" t="str">
        <f t="shared" ref="D11:D32" si="3">IF(K11&gt;0,K11,"")</f>
        <v/>
      </c>
      <c r="E11" s="13" t="s">
        <v>13</v>
      </c>
      <c r="F11" s="20" t="str">
        <f t="shared" si="0"/>
        <v/>
      </c>
      <c r="G11" s="90"/>
      <c r="H11" s="91" t="str">
        <f t="shared" si="1"/>
        <v/>
      </c>
      <c r="I11" s="91">
        <f t="shared" si="2"/>
        <v>14.300596136698511</v>
      </c>
      <c r="J11" s="91" t="str">
        <f>IF(B11&gt;0,I11/B11*100,"")</f>
        <v/>
      </c>
      <c r="K11" s="91" t="str">
        <f t="shared" ref="K11:K31" si="4">IF(H11&gt;H43,(H11-I11),"")</f>
        <v/>
      </c>
      <c r="M11">
        <v>3</v>
      </c>
      <c r="O11" s="17" t="str">
        <f>D11</f>
        <v/>
      </c>
    </row>
    <row r="12" spans="1:51" ht="18" x14ac:dyDescent="0.25">
      <c r="A12" s="66" t="s">
        <v>9</v>
      </c>
      <c r="B12" s="15">
        <f>TEOR.EQ_A_G_4!D3</f>
        <v>0</v>
      </c>
      <c r="C12" s="15">
        <f>TIG.EQ_At_G_1!D3</f>
        <v>0</v>
      </c>
      <c r="D12" s="134" t="str">
        <f t="shared" si="3"/>
        <v/>
      </c>
      <c r="E12" s="13" t="s">
        <v>15</v>
      </c>
      <c r="F12" s="20" t="str">
        <f t="shared" si="0"/>
        <v/>
      </c>
      <c r="G12" s="90"/>
      <c r="H12" s="91" t="str">
        <f t="shared" si="1"/>
        <v/>
      </c>
      <c r="I12" s="91" t="str">
        <f>IF(C12&gt;0,$B$6*C12/100,"")</f>
        <v/>
      </c>
      <c r="J12" s="91" t="str">
        <f>IF(B12&gt;0,I12/B12*100,"")</f>
        <v/>
      </c>
      <c r="K12" s="91" t="str">
        <f t="shared" si="4"/>
        <v/>
      </c>
      <c r="M12">
        <v>4</v>
      </c>
    </row>
    <row r="13" spans="1:51" ht="18" x14ac:dyDescent="0.25">
      <c r="A13" s="66" t="s">
        <v>234</v>
      </c>
      <c r="B13" s="15">
        <f>TEOR.EQ_A_G_4!E3</f>
        <v>0</v>
      </c>
      <c r="C13" s="15">
        <f>TIG.EQ_At_G_1!E3</f>
        <v>0</v>
      </c>
      <c r="D13" s="134" t="str">
        <f>IF(K13&gt;0,K13,"")</f>
        <v/>
      </c>
      <c r="E13" s="13" t="s">
        <v>17</v>
      </c>
      <c r="F13" s="20" t="e">
        <f>D13*10</f>
        <v>#VALUE!</v>
      </c>
      <c r="G13" s="90"/>
      <c r="H13" s="91" t="str">
        <f t="shared" si="1"/>
        <v/>
      </c>
      <c r="I13" s="91" t="str">
        <f t="shared" si="2"/>
        <v/>
      </c>
      <c r="J13" s="91" t="str">
        <f>IF(B13&gt;0,I13/B13*100,"")</f>
        <v/>
      </c>
      <c r="K13" s="91" t="str">
        <f t="shared" si="4"/>
        <v/>
      </c>
      <c r="M13">
        <v>5</v>
      </c>
      <c r="O13" s="17" t="str">
        <f>D13</f>
        <v/>
      </c>
    </row>
    <row r="14" spans="1:51" ht="18" x14ac:dyDescent="0.25">
      <c r="A14" s="66" t="s">
        <v>56</v>
      </c>
      <c r="B14" s="15">
        <f>TEOR.EQ_A_G_4!F3</f>
        <v>3.0104119349501293</v>
      </c>
      <c r="C14" s="15">
        <f>TIG.EQ_At_G_1!F3</f>
        <v>0.20533994550961771</v>
      </c>
      <c r="D14" s="134">
        <f t="shared" si="3"/>
        <v>84.228235635503736</v>
      </c>
      <c r="E14" s="13" t="s">
        <v>45</v>
      </c>
      <c r="F14" s="20">
        <f>D14*10</f>
        <v>842.28235635503734</v>
      </c>
      <c r="G14" s="90"/>
      <c r="H14" s="91">
        <f t="shared" si="1"/>
        <v>86.28163509059992</v>
      </c>
      <c r="I14" s="91">
        <f t="shared" si="2"/>
        <v>2.0533994550961769</v>
      </c>
      <c r="J14" s="91">
        <f>IF(C14&gt;0.14,I14/B14*100,"")</f>
        <v>68.20991610007664</v>
      </c>
      <c r="K14" s="91">
        <f t="shared" si="4"/>
        <v>84.228235635503736</v>
      </c>
      <c r="M14">
        <v>6</v>
      </c>
      <c r="O14" s="91">
        <f>D14</f>
        <v>84.228235635503736</v>
      </c>
    </row>
    <row r="15" spans="1:51" ht="18" x14ac:dyDescent="0.25">
      <c r="A15" s="66" t="s">
        <v>57</v>
      </c>
      <c r="B15" s="15">
        <f>TEOR.EQ_A_G_4!G3</f>
        <v>0</v>
      </c>
      <c r="C15" s="15">
        <f>TIG.EQ_At_G_1!G3</f>
        <v>0</v>
      </c>
      <c r="D15" s="134" t="str">
        <f>IF(K15&gt;0,K15,"")</f>
        <v/>
      </c>
      <c r="E15" s="13" t="s">
        <v>14</v>
      </c>
      <c r="F15" s="20" t="e">
        <f>(F13-D13)+(F10-D10)+(F14-D14)</f>
        <v>#VALUE!</v>
      </c>
      <c r="G15" s="90"/>
      <c r="H15" s="91" t="str">
        <f t="shared" si="1"/>
        <v/>
      </c>
      <c r="I15" s="91" t="str">
        <f>IF(C15&gt;0,$B$6*C15/100,"")</f>
        <v/>
      </c>
      <c r="J15" s="91" t="str">
        <f>IF(B15&gt;0,I15/B15*100,"")</f>
        <v/>
      </c>
      <c r="K15" s="91" t="str">
        <f t="shared" si="4"/>
        <v/>
      </c>
      <c r="M15">
        <v>7</v>
      </c>
    </row>
    <row r="16" spans="1:51" ht="18" x14ac:dyDescent="0.25">
      <c r="A16" s="66" t="s">
        <v>58</v>
      </c>
      <c r="B16" s="15">
        <f>TEOR.EQ_A_G_4!H3</f>
        <v>0</v>
      </c>
      <c r="C16" s="15">
        <f>TIG.EQ_At_G_1!H3</f>
        <v>0</v>
      </c>
      <c r="D16" s="134" t="str">
        <f t="shared" si="3"/>
        <v/>
      </c>
      <c r="E16" s="13"/>
      <c r="F16" s="21" t="e">
        <f>D16*10</f>
        <v>#VALUE!</v>
      </c>
      <c r="G16" s="90"/>
      <c r="H16" s="91" t="str">
        <f>IF(B16&gt;0,$J$33*B16/100,"")</f>
        <v/>
      </c>
      <c r="I16" s="91" t="str">
        <f t="shared" si="2"/>
        <v/>
      </c>
      <c r="J16" s="91" t="str">
        <f>IF(B16&gt;0,I16/B16*100,"")</f>
        <v/>
      </c>
      <c r="K16" s="91" t="str">
        <f t="shared" si="4"/>
        <v/>
      </c>
      <c r="M16">
        <v>8</v>
      </c>
    </row>
    <row r="17" spans="1:15" ht="18" x14ac:dyDescent="0.25">
      <c r="A17" s="66" t="s">
        <v>77</v>
      </c>
      <c r="B17" s="15">
        <f>TEOR.EQ_A_G_4!I3</f>
        <v>0</v>
      </c>
      <c r="C17" s="15">
        <f>TIG.EQ_At_G_1!I3</f>
        <v>0</v>
      </c>
      <c r="D17" s="134" t="str">
        <f t="shared" si="3"/>
        <v/>
      </c>
      <c r="E17" s="13"/>
      <c r="F17" s="17" t="str">
        <f>D17</f>
        <v/>
      </c>
      <c r="G17" s="90"/>
      <c r="H17" s="91" t="str">
        <f t="shared" si="1"/>
        <v/>
      </c>
      <c r="I17" s="91" t="str">
        <f>IF(C17&gt;0,$B$6*C17/100,"")</f>
        <v/>
      </c>
      <c r="J17" s="91" t="str">
        <f>IF(B17&gt;0,I17/B17*100,"")</f>
        <v/>
      </c>
      <c r="K17" s="91" t="str">
        <f t="shared" si="4"/>
        <v/>
      </c>
      <c r="M17">
        <v>9</v>
      </c>
      <c r="O17" s="17" t="str">
        <f>D17</f>
        <v/>
      </c>
    </row>
    <row r="18" spans="1:15" ht="18" x14ac:dyDescent="0.25">
      <c r="A18" s="66" t="s">
        <v>204</v>
      </c>
      <c r="B18" s="15">
        <f>TEOR.EQ_A_G_4!J3</f>
        <v>0</v>
      </c>
      <c r="C18" s="15">
        <f>TIG.EQ_At_G_1!J3</f>
        <v>0</v>
      </c>
      <c r="D18" s="135" t="str">
        <f t="shared" si="3"/>
        <v/>
      </c>
      <c r="H18" s="91" t="str">
        <f t="shared" si="1"/>
        <v/>
      </c>
      <c r="I18" s="91" t="str">
        <f t="shared" ref="I18:I32" si="5">IF(C18&gt;0,$B$6*C18/100,"")</f>
        <v/>
      </c>
      <c r="J18" s="91" t="str">
        <f t="shared" ref="J18:J32" si="6">IF(B18&gt;0,I18/B18*100,"")</f>
        <v/>
      </c>
      <c r="K18" s="91" t="str">
        <f>IF(H18&gt;H50,(H18-I18),"")</f>
        <v/>
      </c>
      <c r="M18">
        <v>10</v>
      </c>
      <c r="O18" s="17" t="str">
        <f>D18</f>
        <v/>
      </c>
    </row>
    <row r="19" spans="1:15" ht="18" x14ac:dyDescent="0.25">
      <c r="A19" s="66" t="s">
        <v>16</v>
      </c>
      <c r="B19" s="15">
        <f>TEOR.EQ_A_G_4!K3</f>
        <v>0.55827174429107052</v>
      </c>
      <c r="C19" s="15">
        <f>TIG.EQ_At_G_1!K3</f>
        <v>1.6000667006096232</v>
      </c>
      <c r="D19" t="str">
        <f t="shared" si="3"/>
        <v/>
      </c>
      <c r="H19" s="91">
        <f>IF(B19&gt;0,$J$33*B19/100,"")</f>
        <v>16.000667006096233</v>
      </c>
      <c r="I19" s="91">
        <f t="shared" si="5"/>
        <v>16.000667006096233</v>
      </c>
      <c r="J19" s="91">
        <f>IF(B19&gt;0,I19/B19*100,"")</f>
        <v>2866.1072622285251</v>
      </c>
      <c r="K19" s="91">
        <f>IF(H19&gt;H51,(H19-I19),"")</f>
        <v>0</v>
      </c>
      <c r="M19">
        <v>11</v>
      </c>
      <c r="O19" t="str">
        <f>D19</f>
        <v/>
      </c>
    </row>
    <row r="20" spans="1:15" ht="18" x14ac:dyDescent="0.25">
      <c r="A20" s="66" t="s">
        <v>12</v>
      </c>
      <c r="B20" s="15">
        <f>TEOR.EQ_A_G_4!L3</f>
        <v>0</v>
      </c>
      <c r="C20" s="15">
        <f>TIG.EQ_At_G_1!L3</f>
        <v>0</v>
      </c>
      <c r="D20" t="str">
        <f t="shared" si="3"/>
        <v/>
      </c>
      <c r="H20" s="91" t="str">
        <f>IF(B20&gt;0,$J$33*B20/100,"")</f>
        <v/>
      </c>
      <c r="I20" s="91" t="str">
        <f t="shared" si="5"/>
        <v/>
      </c>
      <c r="J20" s="91" t="str">
        <f t="shared" si="6"/>
        <v/>
      </c>
      <c r="K20" s="91" t="str">
        <f>IF(H20&gt;H52,(H20-I20),"")</f>
        <v/>
      </c>
      <c r="M20">
        <v>12</v>
      </c>
      <c r="O20" t="str">
        <f>D20</f>
        <v/>
      </c>
    </row>
    <row r="21" spans="1:15" ht="18" x14ac:dyDescent="0.25">
      <c r="A21" s="66" t="s">
        <v>44</v>
      </c>
      <c r="B21" s="15">
        <f>TEOR.EQ_A_G_4!M3</f>
        <v>26.489258808688039</v>
      </c>
      <c r="C21" s="15">
        <f>TIG.EQ_At_G_1!M3</f>
        <v>1.3000541942453192</v>
      </c>
      <c r="D21">
        <f t="shared" si="3"/>
        <v>746.21002848386399</v>
      </c>
      <c r="H21" s="91">
        <f>IF(B21&gt;0,$J$33*B21/100,"")</f>
        <v>759.21057042631719</v>
      </c>
      <c r="I21" s="91">
        <f t="shared" si="5"/>
        <v>13.000541942453191</v>
      </c>
      <c r="J21" s="91">
        <f>IF(B21&gt;0,I21/B21*100,"")</f>
        <v>49.078541745340296</v>
      </c>
      <c r="K21" s="91">
        <f>IF(H21&gt;H53,(H21-I21),"")</f>
        <v>746.21002848386399</v>
      </c>
      <c r="M21">
        <v>13</v>
      </c>
      <c r="O21">
        <f>D21</f>
        <v>746.21002848386399</v>
      </c>
    </row>
    <row r="22" spans="1:15" ht="18" x14ac:dyDescent="0.25">
      <c r="A22" s="66" t="s">
        <v>55</v>
      </c>
      <c r="B22" s="15">
        <f>TEOR.EQ_A_G_4!N3</f>
        <v>0.97502877723000503</v>
      </c>
      <c r="C22" s="15">
        <f>TIG.EQ_At_G_1!N3</f>
        <v>0.19000792069739278</v>
      </c>
      <c r="D22">
        <f t="shared" si="3"/>
        <v>26.045291386033231</v>
      </c>
      <c r="H22" s="91">
        <f t="shared" si="1"/>
        <v>27.945370593007159</v>
      </c>
      <c r="I22" s="91">
        <f t="shared" si="5"/>
        <v>1.9000792069739278</v>
      </c>
      <c r="J22" s="91">
        <f t="shared" si="6"/>
        <v>194.87416693196815</v>
      </c>
      <c r="K22" s="91">
        <f>IF(H22&gt;H64,(H22-I22),"")</f>
        <v>26.045291386033231</v>
      </c>
      <c r="M22">
        <v>14</v>
      </c>
    </row>
    <row r="23" spans="1:15" ht="18" x14ac:dyDescent="0.25">
      <c r="A23" s="66" t="s">
        <v>17</v>
      </c>
      <c r="B23" s="15">
        <f>TEOR.EQ_A_G_4!O3</f>
        <v>0</v>
      </c>
      <c r="C23" s="15">
        <f>TIG.EQ_At_G_1!O3</f>
        <v>0</v>
      </c>
      <c r="D23" t="str">
        <f t="shared" si="3"/>
        <v/>
      </c>
      <c r="H23" s="91" t="str">
        <f t="shared" si="1"/>
        <v/>
      </c>
      <c r="I23" s="91" t="str">
        <f t="shared" si="5"/>
        <v/>
      </c>
      <c r="J23" s="91" t="str">
        <f t="shared" si="6"/>
        <v/>
      </c>
      <c r="K23" s="91" t="str">
        <f>IF(H23&gt;H65,(H23-I23),"")</f>
        <v/>
      </c>
      <c r="M23">
        <v>15</v>
      </c>
    </row>
    <row r="24" spans="1:15" ht="18" x14ac:dyDescent="0.25">
      <c r="A24" s="66" t="s">
        <v>80</v>
      </c>
      <c r="B24" s="15">
        <f>TEOR.EQ_A_G_4!P3</f>
        <v>0</v>
      </c>
      <c r="C24" s="15">
        <f>TIG.EQ_At_G_1!P3</f>
        <v>5.2002167769812764E-2</v>
      </c>
      <c r="D24" t="str">
        <f t="shared" si="3"/>
        <v/>
      </c>
      <c r="E24" t="s">
        <v>90</v>
      </c>
      <c r="F24" s="3"/>
      <c r="G24" s="3"/>
      <c r="H24" s="91" t="str">
        <f t="shared" si="1"/>
        <v/>
      </c>
      <c r="I24" s="91">
        <f t="shared" si="5"/>
        <v>0.52002167769812768</v>
      </c>
      <c r="J24" s="91" t="str">
        <f t="shared" si="6"/>
        <v/>
      </c>
      <c r="K24" s="91" t="str">
        <f>IF(H24&gt;H66,(H24-I24),"")</f>
        <v/>
      </c>
      <c r="L24" s="3"/>
      <c r="M24">
        <v>16</v>
      </c>
    </row>
    <row r="25" spans="1:15" ht="18" x14ac:dyDescent="0.25">
      <c r="A25" s="66" t="s">
        <v>81</v>
      </c>
      <c r="B25" s="15">
        <f>TEOR.EQ_A_G_4!Q3</f>
        <v>0</v>
      </c>
      <c r="C25" s="15">
        <f>TIG.EQ_At_G_1!Q3</f>
        <v>0</v>
      </c>
      <c r="D25" t="str">
        <f t="shared" si="3"/>
        <v/>
      </c>
      <c r="F25" s="69"/>
      <c r="G25" s="69"/>
      <c r="H25" s="91" t="str">
        <f t="shared" si="1"/>
        <v/>
      </c>
      <c r="I25" s="91" t="str">
        <f t="shared" si="5"/>
        <v/>
      </c>
      <c r="J25" s="91" t="str">
        <f t="shared" si="6"/>
        <v/>
      </c>
      <c r="K25" s="91" t="str">
        <f>IF(H25&gt;H57,(H25-I25),"")</f>
        <v/>
      </c>
      <c r="L25" s="69"/>
      <c r="M25">
        <v>17</v>
      </c>
    </row>
    <row r="26" spans="1:15" ht="18" x14ac:dyDescent="0.25">
      <c r="A26" s="66" t="s">
        <v>82</v>
      </c>
      <c r="B26" s="15">
        <f>TEOR.EQ_A_G_4!R3</f>
        <v>0</v>
      </c>
      <c r="C26" s="15">
        <f>TIG.EQ_At_G_1!R3</f>
        <v>0</v>
      </c>
      <c r="D26" t="str">
        <f t="shared" si="3"/>
        <v/>
      </c>
      <c r="E26" t="s">
        <v>91</v>
      </c>
      <c r="F26" s="4"/>
      <c r="G26" s="4"/>
      <c r="H26" s="91" t="str">
        <f t="shared" si="1"/>
        <v/>
      </c>
      <c r="I26" s="91" t="str">
        <f t="shared" si="5"/>
        <v/>
      </c>
      <c r="J26" s="91" t="str">
        <f t="shared" si="6"/>
        <v/>
      </c>
      <c r="K26" s="91" t="str">
        <f>IF(H26&gt;H58,(H26-I26),"")</f>
        <v/>
      </c>
      <c r="L26" s="4"/>
      <c r="M26">
        <v>18</v>
      </c>
    </row>
    <row r="27" spans="1:15" ht="18" x14ac:dyDescent="0.25">
      <c r="A27" s="66" t="s">
        <v>83</v>
      </c>
      <c r="B27" s="15">
        <f>TEOR.EQ_A_G_4!S3</f>
        <v>0</v>
      </c>
      <c r="C27" s="15">
        <f>TIG.EQ_At_G_1!S3</f>
        <v>0</v>
      </c>
      <c r="D27" t="str">
        <f t="shared" si="3"/>
        <v/>
      </c>
      <c r="H27" s="91" t="str">
        <f t="shared" si="1"/>
        <v/>
      </c>
      <c r="I27" s="91" t="str">
        <f t="shared" si="5"/>
        <v/>
      </c>
      <c r="J27" s="91" t="str">
        <f t="shared" si="6"/>
        <v/>
      </c>
      <c r="K27" s="91" t="str">
        <f t="shared" si="4"/>
        <v/>
      </c>
      <c r="M27">
        <v>19</v>
      </c>
    </row>
    <row r="28" spans="1:15" ht="18" x14ac:dyDescent="0.25">
      <c r="A28" s="66" t="s">
        <v>45</v>
      </c>
      <c r="B28" s="15">
        <f>TEOR.EQ_A_G_4!T3</f>
        <v>0</v>
      </c>
      <c r="C28" s="15">
        <f>TIG.EQ_At_G_1!T3</f>
        <v>0</v>
      </c>
      <c r="D28" t="str">
        <f t="shared" si="3"/>
        <v/>
      </c>
      <c r="H28" s="91" t="str">
        <f t="shared" si="1"/>
        <v/>
      </c>
      <c r="I28" s="91" t="str">
        <f t="shared" si="5"/>
        <v/>
      </c>
      <c r="J28" s="91" t="str">
        <f t="shared" si="6"/>
        <v/>
      </c>
      <c r="K28" s="91" t="str">
        <f>IF(H28&gt;H60,(H28-I28),"")</f>
        <v/>
      </c>
      <c r="M28">
        <v>20</v>
      </c>
    </row>
    <row r="29" spans="1:15" ht="18" x14ac:dyDescent="0.25">
      <c r="A29" s="66" t="s">
        <v>43</v>
      </c>
      <c r="B29" s="15">
        <f>TEOR.EQ_A_G_4!U3</f>
        <v>0</v>
      </c>
      <c r="C29" s="15">
        <f>TIG.EQ_At_G_1!U3</f>
        <v>0</v>
      </c>
      <c r="D29" t="str">
        <f t="shared" si="3"/>
        <v/>
      </c>
      <c r="H29" s="91" t="str">
        <f t="shared" si="1"/>
        <v/>
      </c>
      <c r="I29" s="91" t="str">
        <f t="shared" si="5"/>
        <v/>
      </c>
      <c r="J29" s="91" t="str">
        <f t="shared" si="6"/>
        <v/>
      </c>
      <c r="K29" s="91" t="str">
        <f>IF(H29&gt;H61,(H29-I29),"")</f>
        <v/>
      </c>
      <c r="M29">
        <v>21</v>
      </c>
    </row>
    <row r="30" spans="1:15" ht="18" x14ac:dyDescent="0.25">
      <c r="A30" s="66" t="s">
        <v>13</v>
      </c>
      <c r="B30" s="15">
        <f>TEOR.EQ_A_G_4!V3</f>
        <v>0</v>
      </c>
      <c r="C30" s="15">
        <f>TIG.EQ_At_G_1!V3</f>
        <v>0</v>
      </c>
      <c r="D30" t="str">
        <f t="shared" si="3"/>
        <v/>
      </c>
      <c r="H30" s="91" t="str">
        <f t="shared" si="1"/>
        <v/>
      </c>
      <c r="I30" s="91" t="str">
        <f t="shared" si="5"/>
        <v/>
      </c>
      <c r="J30" s="91" t="str">
        <f t="shared" si="6"/>
        <v/>
      </c>
      <c r="K30" s="91" t="str">
        <f t="shared" si="4"/>
        <v/>
      </c>
      <c r="M30">
        <v>22</v>
      </c>
    </row>
    <row r="31" spans="1:15" ht="18" x14ac:dyDescent="0.25">
      <c r="A31" s="66" t="s">
        <v>0</v>
      </c>
      <c r="B31" s="15">
        <f>TEOR.EQ_A_G_4!W3</f>
        <v>0</v>
      </c>
      <c r="C31" s="15">
        <f>TIG.EQ_At_G_1!W3</f>
        <v>0</v>
      </c>
      <c r="D31" t="str">
        <f t="shared" si="3"/>
        <v/>
      </c>
      <c r="H31" s="91" t="str">
        <f t="shared" si="1"/>
        <v/>
      </c>
      <c r="I31" s="91" t="str">
        <f t="shared" si="5"/>
        <v/>
      </c>
      <c r="J31" s="91" t="str">
        <f t="shared" si="6"/>
        <v/>
      </c>
      <c r="K31" s="91" t="str">
        <f t="shared" si="4"/>
        <v/>
      </c>
      <c r="M31">
        <v>23</v>
      </c>
    </row>
    <row r="32" spans="1:15" ht="18" x14ac:dyDescent="0.25">
      <c r="A32" s="66" t="s">
        <v>11</v>
      </c>
      <c r="B32" s="15">
        <f>TEOR.EQ_A_G_4!X3</f>
        <v>0</v>
      </c>
      <c r="C32" s="15">
        <f>TIG.EQ_At_G_1!X3</f>
        <v>0</v>
      </c>
      <c r="D32" t="str">
        <f t="shared" si="3"/>
        <v/>
      </c>
      <c r="H32" s="91" t="str">
        <f t="shared" si="1"/>
        <v/>
      </c>
      <c r="I32" s="91" t="str">
        <f t="shared" si="5"/>
        <v/>
      </c>
      <c r="J32" s="91" t="str">
        <f t="shared" si="6"/>
        <v/>
      </c>
      <c r="K32" s="91" t="str">
        <f>IF(H32&gt;H64,(H32-I32),"")</f>
        <v/>
      </c>
      <c r="M32">
        <v>24</v>
      </c>
    </row>
    <row r="33" spans="1:26" ht="18" x14ac:dyDescent="0.25">
      <c r="A33" s="66" t="s">
        <v>10</v>
      </c>
      <c r="B33" s="15">
        <f>TEOR.EQ_A_G_4!Y3</f>
        <v>0</v>
      </c>
      <c r="C33" s="15">
        <f>TIG.EQ_At_G_1!Y3</f>
        <v>0</v>
      </c>
      <c r="D33">
        <f>IF(K34&gt;0,K34,"")</f>
        <v>1880.9278800429217</v>
      </c>
      <c r="E33" s="17" t="e">
        <f>D15-F33</f>
        <v>#VALUE!</v>
      </c>
      <c r="F33" s="17" t="e">
        <f>(F14-D14)+(F13-D13)</f>
        <v>#VALUE!</v>
      </c>
      <c r="G33" s="90" t="s">
        <v>30</v>
      </c>
      <c r="H33" s="91">
        <f>SUM(H9:H32)</f>
        <v>2866.1072622285251</v>
      </c>
      <c r="I33" s="91">
        <f>SUM(I9:I32)</f>
        <v>1000</v>
      </c>
      <c r="J33" s="91">
        <f>MAX(J9:J32)</f>
        <v>2866.1072622285251</v>
      </c>
      <c r="K33" s="91">
        <f>IF(H33&gt;H65,(H33-I33),"")</f>
        <v>1866.1072622285251</v>
      </c>
      <c r="M33">
        <v>25</v>
      </c>
    </row>
    <row r="34" spans="1:26" x14ac:dyDescent="0.25">
      <c r="B34" s="14">
        <f>SUM(B9:B33)</f>
        <v>100</v>
      </c>
      <c r="C34" s="14">
        <f>SUM(C9:C32)</f>
        <v>100.00000000000001</v>
      </c>
      <c r="D34" s="18">
        <f>SUM(D10:D33)</f>
        <v>2750.3240839679715</v>
      </c>
      <c r="G34" s="337" t="s">
        <v>31</v>
      </c>
      <c r="H34" s="338"/>
      <c r="I34" s="91"/>
      <c r="J34" s="91">
        <f>IF(B6&gt;0,B6+D33,"")</f>
        <v>2880.927880042922</v>
      </c>
      <c r="K34" s="91">
        <f>SUM(K9:K32)</f>
        <v>1880.9278800429217</v>
      </c>
    </row>
    <row r="35" spans="1:26" ht="18" x14ac:dyDescent="0.25">
      <c r="A35">
        <f>'OK OK'!A3</f>
        <v>0</v>
      </c>
      <c r="B35" s="210" t="s">
        <v>14</v>
      </c>
      <c r="C35" s="210" t="s">
        <v>15</v>
      </c>
      <c r="D35" s="210" t="s">
        <v>8</v>
      </c>
      <c r="E35" s="210" t="s">
        <v>9</v>
      </c>
      <c r="F35" s="210" t="s">
        <v>234</v>
      </c>
      <c r="G35" s="210" t="s">
        <v>56</v>
      </c>
      <c r="H35" s="210" t="s">
        <v>57</v>
      </c>
      <c r="I35" s="210" t="s">
        <v>58</v>
      </c>
      <c r="J35" s="210" t="s">
        <v>77</v>
      </c>
      <c r="K35" s="210" t="s">
        <v>204</v>
      </c>
      <c r="L35" s="210" t="s">
        <v>16</v>
      </c>
      <c r="M35" s="210" t="s">
        <v>12</v>
      </c>
      <c r="N35" s="210" t="s">
        <v>44</v>
      </c>
      <c r="O35" s="210" t="s">
        <v>55</v>
      </c>
      <c r="P35" s="210" t="s">
        <v>17</v>
      </c>
      <c r="Q35" s="210" t="s">
        <v>80</v>
      </c>
      <c r="R35" s="210" t="s">
        <v>81</v>
      </c>
      <c r="S35" s="210" t="s">
        <v>82</v>
      </c>
      <c r="T35" s="210" t="s">
        <v>83</v>
      </c>
      <c r="U35" s="210" t="s">
        <v>45</v>
      </c>
      <c r="V35" s="210" t="s">
        <v>43</v>
      </c>
      <c r="W35" s="210" t="s">
        <v>13</v>
      </c>
      <c r="X35" s="210" t="s">
        <v>0</v>
      </c>
      <c r="Y35" s="210" t="s">
        <v>11</v>
      </c>
      <c r="Z35" s="210" t="s">
        <v>10</v>
      </c>
    </row>
    <row r="36" spans="1:26" x14ac:dyDescent="0.25">
      <c r="A36" s="124" t="str">
        <f>'OK OK'!A4</f>
        <v>Composition in the crucible</v>
      </c>
      <c r="B36">
        <f>'OK OK'!B4</f>
        <v>94.328499999999991</v>
      </c>
      <c r="C36">
        <f>'OK OK'!C4</f>
        <v>0.89</v>
      </c>
      <c r="D36">
        <f>'OK OK'!D4</f>
        <v>1.43</v>
      </c>
      <c r="E36">
        <f>'OK OK'!E4</f>
        <v>0</v>
      </c>
      <c r="F36">
        <f>'OK OK'!F4</f>
        <v>0</v>
      </c>
      <c r="G36">
        <f>'OK OK'!G4</f>
        <v>0.2</v>
      </c>
      <c r="H36">
        <f>'OK OK'!H4</f>
        <v>5.0000000000000001E-3</v>
      </c>
      <c r="I36">
        <f>'OK OK'!I4</f>
        <v>1E-3</v>
      </c>
      <c r="J36">
        <f>'OK OK'!J4</f>
        <v>1E-3</v>
      </c>
      <c r="K36">
        <f>'OK OK'!K4</f>
        <v>1.5E-3</v>
      </c>
      <c r="L36">
        <f>'OK OK'!L4</f>
        <v>1.6</v>
      </c>
      <c r="M36">
        <f>'OK OK'!M4</f>
        <v>1E-3</v>
      </c>
      <c r="N36">
        <f>'OK OK'!N4</f>
        <v>1.3</v>
      </c>
      <c r="O36">
        <f>'OK OK'!O4</f>
        <v>0.19</v>
      </c>
      <c r="P36">
        <f>'OK OK'!P4</f>
        <v>0</v>
      </c>
      <c r="Q36">
        <f>'OK OK'!Q4</f>
        <v>5.1999999999999998E-2</v>
      </c>
      <c r="R36">
        <f>'OK OK'!R4</f>
        <v>0</v>
      </c>
      <c r="S36">
        <f>'OK OK'!S4</f>
        <v>0</v>
      </c>
      <c r="T36">
        <f>'OK OK'!T4</f>
        <v>0</v>
      </c>
      <c r="U36">
        <f>'OK OK'!U4</f>
        <v>0</v>
      </c>
      <c r="V36">
        <f>'OK OK'!V4</f>
        <v>0</v>
      </c>
      <c r="W36">
        <f>'OK OK'!W4</f>
        <v>0</v>
      </c>
      <c r="X36">
        <f>'OK OK'!X4</f>
        <v>0</v>
      </c>
      <c r="Y36">
        <f>'OK OK'!Y4</f>
        <v>0</v>
      </c>
      <c r="Z36">
        <f>'OK OK'!Z4</f>
        <v>0</v>
      </c>
    </row>
    <row r="37" spans="1:26" x14ac:dyDescent="0.25">
      <c r="A37" s="96" t="s">
        <v>165</v>
      </c>
      <c r="B37">
        <f>100-C37-D37-E37-F37-G37-H37-I37-J37-K37-L37-M37-N37-O37-P37-Q37-R37-S37-T37-U37-V37-W37-X37-Y37-Z37</f>
        <v>98.021183619070101</v>
      </c>
      <c r="C37">
        <f>C36/G6</f>
        <v>0.31052571260294903</v>
      </c>
      <c r="D37">
        <f>D36/G6</f>
        <v>0.49893457193507534</v>
      </c>
      <c r="E37">
        <f>E36/G6</f>
        <v>0</v>
      </c>
      <c r="F37">
        <f>F36/G6</f>
        <v>0</v>
      </c>
      <c r="G37">
        <f>G36/G6</f>
        <v>6.9781059011898655E-2</v>
      </c>
      <c r="H37">
        <f>H36/G6</f>
        <v>1.7445264752974665E-3</v>
      </c>
      <c r="I37">
        <f>I36/G6</f>
        <v>3.4890529505949327E-4</v>
      </c>
      <c r="J37">
        <f>J36/G6</f>
        <v>3.4890529505949327E-4</v>
      </c>
      <c r="K37">
        <f>K36/G6</f>
        <v>5.2335794258923996E-4</v>
      </c>
      <c r="L37">
        <f>L36/G6</f>
        <v>0.55824847209518924</v>
      </c>
      <c r="M37">
        <f>M36/G6</f>
        <v>3.4890529505949327E-4</v>
      </c>
      <c r="N37">
        <f>N36/G6</f>
        <v>0.45357688357734127</v>
      </c>
      <c r="O37">
        <f>O36/G6</f>
        <v>6.6292006061303727E-2</v>
      </c>
      <c r="P37">
        <f>P36/G6</f>
        <v>0</v>
      </c>
      <c r="Q37">
        <f>Q36/G6</f>
        <v>1.8143075343093649E-2</v>
      </c>
      <c r="R37">
        <f>R36/G6</f>
        <v>0</v>
      </c>
      <c r="S37">
        <f>S36/G6</f>
        <v>0</v>
      </c>
      <c r="T37">
        <f>T36/G6</f>
        <v>0</v>
      </c>
      <c r="U37">
        <f>U36/G6</f>
        <v>0</v>
      </c>
      <c r="V37">
        <f>V36/G6</f>
        <v>0</v>
      </c>
      <c r="W37">
        <f>W36/G6</f>
        <v>0</v>
      </c>
      <c r="X37">
        <f>X36/G6</f>
        <v>0</v>
      </c>
      <c r="Y37">
        <f>Y36/G6</f>
        <v>0</v>
      </c>
      <c r="Z37">
        <f>Z36/G6</f>
        <v>0</v>
      </c>
    </row>
    <row r="54" spans="1:51" ht="18.75" x14ac:dyDescent="0.3">
      <c r="B54" s="210" t="s">
        <v>14</v>
      </c>
      <c r="C54" s="210" t="s">
        <v>15</v>
      </c>
      <c r="D54" s="210" t="s">
        <v>8</v>
      </c>
      <c r="E54" s="210" t="s">
        <v>9</v>
      </c>
      <c r="F54" s="210" t="s">
        <v>234</v>
      </c>
      <c r="G54" s="210" t="s">
        <v>56</v>
      </c>
      <c r="H54" s="210" t="s">
        <v>57</v>
      </c>
      <c r="I54" s="210" t="s">
        <v>58</v>
      </c>
      <c r="J54" s="210" t="s">
        <v>77</v>
      </c>
      <c r="K54" s="210" t="s">
        <v>204</v>
      </c>
      <c r="L54" s="210" t="s">
        <v>16</v>
      </c>
      <c r="M54" s="210" t="s">
        <v>12</v>
      </c>
      <c r="N54" s="210" t="s">
        <v>44</v>
      </c>
      <c r="O54" s="210" t="s">
        <v>55</v>
      </c>
      <c r="P54" s="210" t="s">
        <v>17</v>
      </c>
      <c r="Q54" s="210" t="s">
        <v>80</v>
      </c>
      <c r="R54" s="210" t="s">
        <v>81</v>
      </c>
      <c r="S54" s="210" t="s">
        <v>82</v>
      </c>
      <c r="T54" s="210" t="s">
        <v>83</v>
      </c>
      <c r="U54" s="210" t="s">
        <v>45</v>
      </c>
      <c r="V54" s="210" t="s">
        <v>43</v>
      </c>
      <c r="W54" s="210" t="s">
        <v>13</v>
      </c>
      <c r="X54" s="210" t="s">
        <v>0</v>
      </c>
      <c r="Y54" s="210" t="s">
        <v>11</v>
      </c>
      <c r="Z54" s="210" t="s">
        <v>10</v>
      </c>
      <c r="AA54" s="211" t="s">
        <v>14</v>
      </c>
      <c r="AB54" s="212" t="s">
        <v>15</v>
      </c>
      <c r="AC54" s="213" t="s">
        <v>8</v>
      </c>
      <c r="AD54" s="214" t="s">
        <v>9</v>
      </c>
      <c r="AE54" s="213" t="s">
        <v>234</v>
      </c>
      <c r="AF54" s="213" t="s">
        <v>56</v>
      </c>
      <c r="AG54" s="214" t="s">
        <v>57</v>
      </c>
      <c r="AH54" s="213" t="s">
        <v>58</v>
      </c>
      <c r="AI54" s="215" t="s">
        <v>77</v>
      </c>
      <c r="AJ54" s="216" t="s">
        <v>204</v>
      </c>
      <c r="AK54" s="216" t="s">
        <v>16</v>
      </c>
      <c r="AL54" s="210" t="s">
        <v>13</v>
      </c>
      <c r="AM54" s="215" t="s">
        <v>44</v>
      </c>
      <c r="AN54" s="216" t="s">
        <v>55</v>
      </c>
      <c r="AO54" s="210" t="s">
        <v>17</v>
      </c>
      <c r="AP54" s="210" t="s">
        <v>80</v>
      </c>
      <c r="AQ54" s="210" t="s">
        <v>81</v>
      </c>
      <c r="AR54" s="210" t="s">
        <v>82</v>
      </c>
      <c r="AS54" s="210" t="s">
        <v>83</v>
      </c>
      <c r="AT54" s="210" t="s">
        <v>45</v>
      </c>
      <c r="AU54" s="210" t="s">
        <v>43</v>
      </c>
      <c r="AV54" s="210" t="s">
        <v>12</v>
      </c>
      <c r="AW54" s="210" t="s">
        <v>0</v>
      </c>
      <c r="AX54" s="210" t="s">
        <v>11</v>
      </c>
      <c r="AY54" s="210" t="s">
        <v>10</v>
      </c>
    </row>
    <row r="55" spans="1:51" ht="18.75" x14ac:dyDescent="0.3">
      <c r="B55" s="36">
        <f>100-C55-D55-E55-F55-G55-H55-I55-J55-K55-L55-M55-N55-O55-P55-Q55-R55-S55-T55-U55-V55-W55-X55-Y55-Z55</f>
        <v>98.021183619070101</v>
      </c>
      <c r="C55" s="37">
        <f>C37</f>
        <v>0.31052571260294903</v>
      </c>
      <c r="D55" s="37">
        <f t="shared" ref="D55:Z55" si="7">D37</f>
        <v>0.49893457193507534</v>
      </c>
      <c r="E55" s="37">
        <f t="shared" si="7"/>
        <v>0</v>
      </c>
      <c r="F55" s="37">
        <f t="shared" si="7"/>
        <v>0</v>
      </c>
      <c r="G55" s="37">
        <f t="shared" si="7"/>
        <v>6.9781059011898655E-2</v>
      </c>
      <c r="H55" s="37">
        <f t="shared" si="7"/>
        <v>1.7445264752974665E-3</v>
      </c>
      <c r="I55" s="37">
        <f t="shared" si="7"/>
        <v>3.4890529505949327E-4</v>
      </c>
      <c r="J55" s="37">
        <f t="shared" si="7"/>
        <v>3.4890529505949327E-4</v>
      </c>
      <c r="K55" s="37">
        <f t="shared" si="7"/>
        <v>5.2335794258923996E-4</v>
      </c>
      <c r="L55" s="37">
        <f t="shared" si="7"/>
        <v>0.55824847209518924</v>
      </c>
      <c r="M55" s="37">
        <f t="shared" si="7"/>
        <v>3.4890529505949327E-4</v>
      </c>
      <c r="N55" s="37">
        <f t="shared" si="7"/>
        <v>0.45357688357734127</v>
      </c>
      <c r="O55" s="37">
        <f t="shared" si="7"/>
        <v>6.6292006061303727E-2</v>
      </c>
      <c r="P55" s="37">
        <f t="shared" si="7"/>
        <v>0</v>
      </c>
      <c r="Q55" s="37">
        <f t="shared" si="7"/>
        <v>1.8143075343093649E-2</v>
      </c>
      <c r="R55" s="37">
        <f t="shared" si="7"/>
        <v>0</v>
      </c>
      <c r="S55" s="37">
        <f t="shared" si="7"/>
        <v>0</v>
      </c>
      <c r="T55" s="37">
        <f t="shared" si="7"/>
        <v>0</v>
      </c>
      <c r="U55" s="37">
        <f t="shared" si="7"/>
        <v>0</v>
      </c>
      <c r="V55" s="37">
        <f t="shared" si="7"/>
        <v>0</v>
      </c>
      <c r="W55" s="37">
        <f t="shared" si="7"/>
        <v>0</v>
      </c>
      <c r="X55" s="37">
        <f t="shared" si="7"/>
        <v>0</v>
      </c>
      <c r="Y55" s="37">
        <f t="shared" si="7"/>
        <v>0</v>
      </c>
      <c r="Z55" s="37">
        <f t="shared" si="7"/>
        <v>0</v>
      </c>
      <c r="AA55" s="219">
        <v>55.84</v>
      </c>
      <c r="AB55" s="219">
        <v>28.0855</v>
      </c>
      <c r="AC55" s="219">
        <v>58.693399999999997</v>
      </c>
      <c r="AD55" s="219">
        <v>63.545999999999999</v>
      </c>
      <c r="AE55" s="219">
        <v>65.38</v>
      </c>
      <c r="AF55" s="219">
        <v>12.01</v>
      </c>
      <c r="AG55" s="219">
        <v>30.973762000000001</v>
      </c>
      <c r="AH55" s="219">
        <v>32.064999999999998</v>
      </c>
      <c r="AI55" s="219">
        <v>14.0067</v>
      </c>
      <c r="AJ55" s="219">
        <v>10.81</v>
      </c>
      <c r="AK55" s="219">
        <v>54.938043999999998</v>
      </c>
      <c r="AL55" s="219">
        <v>24.305</v>
      </c>
      <c r="AM55" s="219">
        <v>51.996099999999998</v>
      </c>
      <c r="AN55" s="219">
        <v>95.95</v>
      </c>
      <c r="AO55" s="220">
        <v>47.866999999999997</v>
      </c>
      <c r="AP55" s="220">
        <v>50.941499999999998</v>
      </c>
      <c r="AQ55" s="220">
        <v>92.906369999999995</v>
      </c>
      <c r="AR55" s="220">
        <v>183.84</v>
      </c>
      <c r="AS55" s="220">
        <v>180.94788</v>
      </c>
      <c r="AT55" s="220">
        <v>91.224000000000004</v>
      </c>
      <c r="AU55" s="220">
        <v>58.933194999999998</v>
      </c>
      <c r="AV55" s="220">
        <v>26.981539999999999</v>
      </c>
      <c r="AW55" s="219">
        <v>121.76</v>
      </c>
      <c r="AX55" s="219">
        <v>207.2</v>
      </c>
      <c r="AY55" s="219">
        <v>118.71</v>
      </c>
    </row>
    <row r="56" spans="1:51" ht="18.75" x14ac:dyDescent="0.3">
      <c r="A56" s="96" t="s">
        <v>166</v>
      </c>
      <c r="B56" s="36">
        <f>100*((((B55)/(AA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97.475964974291898</v>
      </c>
      <c r="C56" s="36">
        <f>100*((((C55)/(AB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0.61395765356365717</v>
      </c>
      <c r="D56" s="36">
        <f>100*((((D55)/(AC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0.47203841155429938</v>
      </c>
      <c r="E56" s="36">
        <f>100*((((E55)/(AD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F56" s="36">
        <f>100*((((F55)/(AE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G56" s="36">
        <f>100*((((G55)/(AF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0.32263951724054096</v>
      </c>
      <c r="H56" s="36">
        <f>100*((((H55)/(AG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3.1275669727000694E-3</v>
      </c>
      <c r="I56" s="36">
        <f>100*((((I55)/(AH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6.0422588524230427E-4</v>
      </c>
      <c r="J56" s="36">
        <f>100*((((J55)/(AI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1.3832310972816213E-3</v>
      </c>
      <c r="K56" s="36">
        <f>100*((((K55)/(AJ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2.6884139237226394E-3</v>
      </c>
      <c r="L56" s="36">
        <f>100*((((L55)/(AK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0.56425752646874672</v>
      </c>
      <c r="M56" s="36">
        <f>100*((((M55)/(AL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7.9714062992365697E-4</v>
      </c>
      <c r="N56" s="36">
        <f>100*((((N55)/(AM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0.4843989051752503</v>
      </c>
      <c r="O56" s="36">
        <f>100*((((O55)/(AN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3.8365352495632644E-2</v>
      </c>
      <c r="P56" s="36">
        <f>100*((((P55)/(AO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Q56" s="36">
        <f>100*((((Q55)/(AP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1.9777080701104465E-2</v>
      </c>
      <c r="R56" s="36">
        <f>100*((((R55)/(AQ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S56" s="36">
        <f>100*((((S55)/(AR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T56" s="36">
        <f>100*((((T55)/(AS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U56" s="36">
        <f>100*((((U55)/(AT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V56" s="36">
        <f>100*((((V55)/(AU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W56" s="36">
        <f>100*((((W55)/(AV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X56" s="7">
        <f>100*((((X55)/(AW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Y56" s="7">
        <f>100*((((Y55)/(AX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Z56" s="7">
        <f>100*((((Z55)/(AY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</sheetData>
  <mergeCells count="1">
    <mergeCell ref="G34:H34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B2C16-3482-4DB7-9122-6B16A472357A}">
  <dimension ref="A1:AY56"/>
  <sheetViews>
    <sheetView zoomScale="80" zoomScaleNormal="80" workbookViewId="0">
      <selection activeCell="AA54" sqref="AA54:AY55"/>
    </sheetView>
  </sheetViews>
  <sheetFormatPr baseColWidth="10" defaultRowHeight="15" x14ac:dyDescent="0.25"/>
  <cols>
    <col min="1" max="1" width="15.85546875" customWidth="1"/>
    <col min="4" max="4" width="13.5703125" customWidth="1"/>
    <col min="5" max="5" width="12.5703125" customWidth="1"/>
    <col min="6" max="6" width="13.5703125" customWidth="1"/>
  </cols>
  <sheetData>
    <row r="1" spans="1:51" ht="18.75" x14ac:dyDescent="0.3">
      <c r="A1" s="210" t="s">
        <v>14</v>
      </c>
      <c r="B1" s="210" t="s">
        <v>15</v>
      </c>
      <c r="C1" s="210" t="s">
        <v>8</v>
      </c>
      <c r="D1" s="210" t="s">
        <v>9</v>
      </c>
      <c r="E1" s="210" t="s">
        <v>234</v>
      </c>
      <c r="F1" s="210" t="s">
        <v>56</v>
      </c>
      <c r="G1" s="210" t="s">
        <v>57</v>
      </c>
      <c r="H1" s="210" t="s">
        <v>58</v>
      </c>
      <c r="I1" s="210" t="s">
        <v>77</v>
      </c>
      <c r="J1" s="210" t="s">
        <v>204</v>
      </c>
      <c r="K1" s="210" t="s">
        <v>16</v>
      </c>
      <c r="L1" s="210" t="s">
        <v>12</v>
      </c>
      <c r="M1" s="210" t="s">
        <v>44</v>
      </c>
      <c r="N1" s="210" t="s">
        <v>55</v>
      </c>
      <c r="O1" s="210" t="s">
        <v>17</v>
      </c>
      <c r="P1" s="210" t="s">
        <v>80</v>
      </c>
      <c r="Q1" s="210" t="s">
        <v>81</v>
      </c>
      <c r="R1" s="210" t="s">
        <v>82</v>
      </c>
      <c r="S1" s="210" t="s">
        <v>83</v>
      </c>
      <c r="T1" s="210" t="s">
        <v>45</v>
      </c>
      <c r="U1" s="210" t="s">
        <v>43</v>
      </c>
      <c r="V1" s="210" t="s">
        <v>13</v>
      </c>
      <c r="W1" s="210" t="s">
        <v>0</v>
      </c>
      <c r="X1" s="210" t="s">
        <v>11</v>
      </c>
      <c r="Y1" s="210" t="s">
        <v>10</v>
      </c>
      <c r="Z1" s="211" t="s">
        <v>14</v>
      </c>
      <c r="AA1" s="212" t="s">
        <v>15</v>
      </c>
      <c r="AB1" s="213" t="s">
        <v>8</v>
      </c>
      <c r="AC1" s="214" t="s">
        <v>9</v>
      </c>
      <c r="AD1" s="213" t="s">
        <v>234</v>
      </c>
      <c r="AE1" s="213" t="s">
        <v>56</v>
      </c>
      <c r="AF1" s="214" t="s">
        <v>57</v>
      </c>
      <c r="AG1" s="213" t="s">
        <v>58</v>
      </c>
      <c r="AH1" s="215" t="s">
        <v>77</v>
      </c>
      <c r="AI1" s="216" t="s">
        <v>204</v>
      </c>
      <c r="AJ1" s="216" t="s">
        <v>16</v>
      </c>
      <c r="AK1" s="210" t="s">
        <v>13</v>
      </c>
      <c r="AL1" s="215" t="s">
        <v>44</v>
      </c>
      <c r="AM1" s="216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12</v>
      </c>
      <c r="AV1" s="210" t="s">
        <v>0</v>
      </c>
      <c r="AW1" s="210" t="s">
        <v>11</v>
      </c>
      <c r="AX1" s="210" t="s">
        <v>10</v>
      </c>
      <c r="AY1" s="35"/>
    </row>
    <row r="2" spans="1:51" ht="18.75" x14ac:dyDescent="0.3">
      <c r="A2" s="36">
        <f>100-B2-C2-D2-E2-F2-G2-H2-I2-J2-K2-L2-M2-N2-O2-P2-Q2-R2-S2-T2-U2-V2-W2-X2-Y2</f>
        <v>94.328499999999991</v>
      </c>
      <c r="B2" s="37">
        <f>'OK OK'!C4</f>
        <v>0.89</v>
      </c>
      <c r="C2" s="37">
        <f>'OK OK'!D4</f>
        <v>1.43</v>
      </c>
      <c r="D2" s="37">
        <f>'OK OK'!E4</f>
        <v>0</v>
      </c>
      <c r="E2" s="37">
        <f>'OK OK'!F4</f>
        <v>0</v>
      </c>
      <c r="F2" s="37">
        <f>'OK OK'!G4</f>
        <v>0.2</v>
      </c>
      <c r="G2" s="37">
        <f>'OK OK'!H4</f>
        <v>5.0000000000000001E-3</v>
      </c>
      <c r="H2" s="37">
        <f>'OK OK'!I4</f>
        <v>1E-3</v>
      </c>
      <c r="I2" s="37">
        <f>'OK OK'!J4</f>
        <v>1E-3</v>
      </c>
      <c r="J2" s="37">
        <f>'OK OK'!K4</f>
        <v>1.5E-3</v>
      </c>
      <c r="K2" s="37">
        <f>'OK OK'!L4</f>
        <v>1.6</v>
      </c>
      <c r="L2" s="37">
        <f>'OK OK'!M4</f>
        <v>1E-3</v>
      </c>
      <c r="M2" s="37">
        <f>'OK OK'!N4</f>
        <v>1.3</v>
      </c>
      <c r="N2" s="37">
        <f>'OK OK'!O4</f>
        <v>0.19</v>
      </c>
      <c r="O2" s="37">
        <f>'OK OK'!P4</f>
        <v>0</v>
      </c>
      <c r="P2" s="37">
        <f>'OK OK'!Q4</f>
        <v>5.1999999999999998E-2</v>
      </c>
      <c r="Q2" s="37">
        <f>'OK OK'!R4</f>
        <v>0</v>
      </c>
      <c r="R2" s="37">
        <f>'OK OK'!S4</f>
        <v>0</v>
      </c>
      <c r="S2" s="37">
        <f>'OK OK'!T4</f>
        <v>0</v>
      </c>
      <c r="T2" s="37">
        <f>'OK OK'!U4</f>
        <v>0</v>
      </c>
      <c r="U2" s="37">
        <f>'OK OK'!V4</f>
        <v>0</v>
      </c>
      <c r="V2" s="37">
        <f>'OK OK'!W4</f>
        <v>0</v>
      </c>
      <c r="W2" s="37">
        <f>'OK OK'!X4</f>
        <v>0</v>
      </c>
      <c r="X2" s="37">
        <f>'OK OK'!Y4</f>
        <v>0</v>
      </c>
      <c r="Y2" s="37">
        <f>'OK OK'!Z4</f>
        <v>0</v>
      </c>
      <c r="Z2" s="219">
        <v>55.84</v>
      </c>
      <c r="AA2" s="219">
        <v>28.0855</v>
      </c>
      <c r="AB2" s="219">
        <v>58.693399999999997</v>
      </c>
      <c r="AC2" s="219">
        <v>63.545999999999999</v>
      </c>
      <c r="AD2" s="219">
        <v>65.38</v>
      </c>
      <c r="AE2" s="219">
        <v>12.01</v>
      </c>
      <c r="AF2" s="219">
        <v>30.973762000000001</v>
      </c>
      <c r="AG2" s="219">
        <v>32.064999999999998</v>
      </c>
      <c r="AH2" s="219">
        <v>14.0067</v>
      </c>
      <c r="AI2" s="219">
        <v>10.81</v>
      </c>
      <c r="AJ2" s="219">
        <v>54.938043999999998</v>
      </c>
      <c r="AK2" s="219">
        <v>24.305</v>
      </c>
      <c r="AL2" s="219">
        <v>51.996099999999998</v>
      </c>
      <c r="AM2" s="219">
        <v>95.95</v>
      </c>
      <c r="AN2" s="220">
        <v>47.866999999999997</v>
      </c>
      <c r="AO2" s="220">
        <v>50.941499999999998</v>
      </c>
      <c r="AP2" s="220">
        <v>92.906369999999995</v>
      </c>
      <c r="AQ2" s="220">
        <v>183.84</v>
      </c>
      <c r="AR2" s="220">
        <v>180.94788</v>
      </c>
      <c r="AS2" s="220">
        <v>91.224000000000004</v>
      </c>
      <c r="AT2" s="220">
        <v>58.933194999999998</v>
      </c>
      <c r="AU2" s="220">
        <v>26.981539999999999</v>
      </c>
      <c r="AV2" s="219">
        <v>121.76</v>
      </c>
      <c r="AW2" s="219">
        <v>207.2</v>
      </c>
      <c r="AX2" s="219">
        <v>118.71</v>
      </c>
      <c r="AY2" s="7"/>
    </row>
    <row r="3" spans="1:51" ht="18.75" x14ac:dyDescent="0.3">
      <c r="A3" s="36">
        <f>100*((((A2)/(Z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92.840162287943627</v>
      </c>
      <c r="B3" s="36">
        <f>100*((((B2)/(AA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1.741591189035695</v>
      </c>
      <c r="C3" s="36">
        <f>100*((((C2)/(AB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1.3390140731654472</v>
      </c>
      <c r="D3" s="36">
        <f>100*((((D2)/(AC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E3" s="36">
        <f>100*((((E2)/(AD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F3" s="36">
        <f>100*((((F2)/(AE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0.91521970155323784</v>
      </c>
      <c r="G3" s="36">
        <f>100*((((G2)/(AF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8.8718546811123438E-3</v>
      </c>
      <c r="H3" s="36">
        <f>100*((((H2)/(AG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1.7139854382745025E-3</v>
      </c>
      <c r="I3" s="36">
        <f>100*((((I2)/(AH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3.9237609914021089E-3</v>
      </c>
      <c r="J3" s="36">
        <f>100*((((J2)/(AI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7.6261253115085933E-3</v>
      </c>
      <c r="K3" s="36">
        <f>100*((((K2)/(AJ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1.6006086588236572</v>
      </c>
      <c r="L3" s="36">
        <f>100*((((L2)/(AK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2.2612196288118464E-3</v>
      </c>
      <c r="M3" s="36">
        <f>100*((((M2)/(AL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1.3740766327042508</v>
      </c>
      <c r="N3" s="36">
        <f>100*((((N2)/(AM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0.10882959025400381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P3" s="36">
        <f>100*((((P2)/(AO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5.6100920468972061E-2</v>
      </c>
      <c r="Q3" s="36">
        <f>100*((((Q2)/(AP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R3" s="36">
        <f>100*((((R2)/(AQ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S3" s="36">
        <f>100*((((S2)/(AR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T3" s="36">
        <f>100*((((T2)/(AS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U3" s="36">
        <f>100*((((U2)/(AT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V3" s="36">
        <f>100*((((V2)/(AU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W3" s="7">
        <f>100*((((W2)/(AV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X3" s="7">
        <f>100*((((X2)/(AW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Y3" s="7">
        <f>100*((((Y2)/(AX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51" ht="15.75" x14ac:dyDescent="0.25">
      <c r="A4" s="8" t="s">
        <v>18</v>
      </c>
      <c r="B4" s="9">
        <v>111</v>
      </c>
    </row>
    <row r="5" spans="1:51" ht="15.75" x14ac:dyDescent="0.25">
      <c r="A5" s="8" t="s">
        <v>19</v>
      </c>
      <c r="B5" s="9" t="s">
        <v>79</v>
      </c>
      <c r="C5" s="10"/>
    </row>
    <row r="6" spans="1:51" ht="15.75" x14ac:dyDescent="0.25">
      <c r="A6" s="8" t="s">
        <v>20</v>
      </c>
      <c r="B6" s="9">
        <f>'OK OK'!B13</f>
        <v>1000</v>
      </c>
      <c r="D6" s="8" t="s">
        <v>21</v>
      </c>
      <c r="E6" s="11">
        <f>IF(J33&gt;1,J33,"")</f>
        <v>2866.069944455372</v>
      </c>
      <c r="F6" s="12" t="s">
        <v>22</v>
      </c>
      <c r="G6">
        <f>E6/B6</f>
        <v>2.8660699444553721</v>
      </c>
    </row>
    <row r="7" spans="1:51" ht="15.75" x14ac:dyDescent="0.25">
      <c r="A7" s="3"/>
      <c r="B7" t="s">
        <v>50</v>
      </c>
      <c r="C7" t="s">
        <v>51</v>
      </c>
    </row>
    <row r="8" spans="1:51" ht="18.75" x14ac:dyDescent="0.3">
      <c r="A8" s="3"/>
      <c r="B8" s="13" t="s">
        <v>23</v>
      </c>
      <c r="C8" s="13" t="s">
        <v>24</v>
      </c>
      <c r="D8" s="13" t="s">
        <v>25</v>
      </c>
      <c r="E8" s="19" t="s">
        <v>38</v>
      </c>
      <c r="F8" s="13" t="s">
        <v>25</v>
      </c>
      <c r="G8" s="10"/>
      <c r="H8" s="14" t="s">
        <v>26</v>
      </c>
      <c r="I8" s="14" t="s">
        <v>27</v>
      </c>
      <c r="J8" s="14" t="s">
        <v>28</v>
      </c>
      <c r="K8" s="14" t="s">
        <v>29</v>
      </c>
      <c r="Z8" s="57"/>
      <c r="AA8" s="58"/>
      <c r="AB8" s="59"/>
      <c r="AC8" s="60"/>
      <c r="AD8" s="59"/>
      <c r="AE8" s="59"/>
      <c r="AF8" s="60"/>
      <c r="AG8" s="59"/>
      <c r="AH8" s="61"/>
      <c r="AI8" s="62"/>
      <c r="AJ8" s="62"/>
      <c r="AK8" s="63"/>
      <c r="AL8" s="63"/>
      <c r="AM8" s="62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</row>
    <row r="9" spans="1:51" ht="18.75" x14ac:dyDescent="0.3">
      <c r="A9" s="66" t="s">
        <v>14</v>
      </c>
      <c r="B9" s="15">
        <f>TEOR.EQ_A_G_5!A3</f>
        <v>68.187934192467182</v>
      </c>
      <c r="C9" s="15">
        <f>TIG.EQ_At_G_1!A3</f>
        <v>94.332432355284283</v>
      </c>
      <c r="D9" s="16">
        <f>IF(K9&gt;0,K9,"")</f>
        <v>1010.9895640824667</v>
      </c>
      <c r="E9" s="13" t="s">
        <v>56</v>
      </c>
      <c r="F9" s="20">
        <f t="shared" ref="F9:F12" si="0">D9</f>
        <v>1010.9895640824667</v>
      </c>
      <c r="G9" s="90"/>
      <c r="H9" s="91">
        <f t="shared" ref="H9:H32" si="1">IF(B9&gt;0,$J$33*B9/100,"")</f>
        <v>1954.3138876353096</v>
      </c>
      <c r="I9" s="91">
        <f>IF(C9&gt;0,$B$6*C9/100,"")</f>
        <v>943.32432355284288</v>
      </c>
      <c r="J9" s="91">
        <f>IF(B9&gt;0,I9/B9*100,"")</f>
        <v>1383.418246533495</v>
      </c>
      <c r="K9" s="91">
        <f t="shared" ref="K9:K31" si="2">IF(H9&gt;H41,(H9-I9),"")</f>
        <v>1010.9895640824667</v>
      </c>
      <c r="M9">
        <v>1</v>
      </c>
      <c r="O9" s="17">
        <f>D9</f>
        <v>1010.9895640824667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V9" s="7"/>
      <c r="AW9" s="7"/>
      <c r="AX9" s="7"/>
    </row>
    <row r="10" spans="1:51" ht="18" x14ac:dyDescent="0.25">
      <c r="A10" s="66" t="s">
        <v>15</v>
      </c>
      <c r="B10" s="15">
        <f>TEOR.EQ_A_G_5!B3</f>
        <v>0.76107770795994778</v>
      </c>
      <c r="C10" s="15">
        <f>TIG.EQ_At_G_1!B3</f>
        <v>0.89003710221410315</v>
      </c>
      <c r="D10" s="16">
        <f>IF(K10&gt;0,K10,"")</f>
        <v>12.912648419648862</v>
      </c>
      <c r="E10" s="13" t="s">
        <v>16</v>
      </c>
      <c r="F10" s="20">
        <f>D10*5</f>
        <v>64.563242098244316</v>
      </c>
      <c r="G10" s="90"/>
      <c r="H10" s="91">
        <f t="shared" si="1"/>
        <v>21.813019441789894</v>
      </c>
      <c r="I10" s="91">
        <f t="shared" ref="I10:I16" si="3">IF(C10&gt;0,$B$6*C10/100,"")</f>
        <v>8.9003710221410319</v>
      </c>
      <c r="J10" s="91">
        <f>IF(B10&gt;0,I10/B10*100,"")</f>
        <v>1169.4431368904868</v>
      </c>
      <c r="K10" s="91">
        <f t="shared" si="2"/>
        <v>12.912648419648862</v>
      </c>
      <c r="M10">
        <v>2</v>
      </c>
      <c r="O10" s="17">
        <f>D10</f>
        <v>12.912648419648862</v>
      </c>
    </row>
    <row r="11" spans="1:51" ht="18" x14ac:dyDescent="0.25">
      <c r="A11" s="66" t="s">
        <v>8</v>
      </c>
      <c r="B11" s="15">
        <f>TEOR.EQ_A_G_5!C3</f>
        <v>0</v>
      </c>
      <c r="C11" s="15">
        <f>TIG.EQ_At_G_1!C3</f>
        <v>1.4300596136698511</v>
      </c>
      <c r="D11" s="16" t="str">
        <f t="shared" ref="D11:D32" si="4">IF(K11&gt;0,K11,"")</f>
        <v/>
      </c>
      <c r="E11" s="13" t="s">
        <v>13</v>
      </c>
      <c r="F11" s="20" t="str">
        <f t="shared" si="0"/>
        <v/>
      </c>
      <c r="G11" s="90"/>
      <c r="H11" s="91" t="str">
        <f t="shared" si="1"/>
        <v/>
      </c>
      <c r="I11" s="91">
        <f t="shared" si="3"/>
        <v>14.300596136698511</v>
      </c>
      <c r="J11" s="91" t="str">
        <f>IF(B11&gt;0,I11/B11*100,"")</f>
        <v/>
      </c>
      <c r="K11" s="91" t="str">
        <f t="shared" si="2"/>
        <v/>
      </c>
      <c r="M11">
        <v>3</v>
      </c>
      <c r="O11" s="17" t="str">
        <f>D11</f>
        <v/>
      </c>
    </row>
    <row r="12" spans="1:51" ht="18" x14ac:dyDescent="0.25">
      <c r="A12" s="66" t="s">
        <v>9</v>
      </c>
      <c r="B12" s="15">
        <f>TEOR.EQ_A_G_5!D3</f>
        <v>0</v>
      </c>
      <c r="C12" s="15">
        <f>TIG.EQ_At_G_1!D3</f>
        <v>0</v>
      </c>
      <c r="D12" s="16" t="str">
        <f t="shared" si="4"/>
        <v/>
      </c>
      <c r="E12" s="13" t="s">
        <v>15</v>
      </c>
      <c r="F12" s="20" t="str">
        <f t="shared" si="0"/>
        <v/>
      </c>
      <c r="G12" s="90"/>
      <c r="H12" s="91" t="str">
        <f t="shared" si="1"/>
        <v/>
      </c>
      <c r="I12" s="91" t="str">
        <f>IF(C12&gt;0,$B$6*C12/100,"")</f>
        <v/>
      </c>
      <c r="J12" s="91" t="str">
        <f>IF(B12&gt;0,I12/B12*100,"")</f>
        <v/>
      </c>
      <c r="K12" s="91" t="str">
        <f t="shared" si="2"/>
        <v/>
      </c>
      <c r="M12">
        <v>4</v>
      </c>
    </row>
    <row r="13" spans="1:51" ht="18" x14ac:dyDescent="0.25">
      <c r="A13" s="66" t="s">
        <v>234</v>
      </c>
      <c r="B13" s="15">
        <f>TEOR.EQ_A_G_5!E3</f>
        <v>0</v>
      </c>
      <c r="C13" s="15">
        <f>TIG.EQ_At_G_1!E3</f>
        <v>0</v>
      </c>
      <c r="D13" s="16" t="str">
        <f t="shared" si="4"/>
        <v/>
      </c>
      <c r="E13" s="13" t="s">
        <v>17</v>
      </c>
      <c r="F13" s="20"/>
      <c r="G13" s="90"/>
      <c r="H13" s="91" t="str">
        <f t="shared" si="1"/>
        <v/>
      </c>
      <c r="I13" s="91" t="str">
        <f t="shared" si="3"/>
        <v/>
      </c>
      <c r="J13" s="91" t="str">
        <f>IF(B13&gt;0,I13/B13*100,"")</f>
        <v/>
      </c>
      <c r="K13" s="91" t="str">
        <f t="shared" si="2"/>
        <v/>
      </c>
      <c r="M13">
        <v>5</v>
      </c>
      <c r="O13" s="17" t="str">
        <f>D13</f>
        <v/>
      </c>
    </row>
    <row r="14" spans="1:51" ht="18" x14ac:dyDescent="0.25">
      <c r="A14" s="66" t="s">
        <v>56</v>
      </c>
      <c r="B14" s="15">
        <f>TEOR.EQ_A_G_5!F3</f>
        <v>3.0104511321336815</v>
      </c>
      <c r="C14" s="15">
        <f>TIG.EQ_At_G_1!F3</f>
        <v>0.20533994550961771</v>
      </c>
      <c r="D14" s="16">
        <f t="shared" si="4"/>
        <v>84.228235635503736</v>
      </c>
      <c r="E14" s="13" t="s">
        <v>45</v>
      </c>
      <c r="F14" s="20">
        <f>D14*10</f>
        <v>842.28235635503734</v>
      </c>
      <c r="G14" s="90"/>
      <c r="H14" s="91">
        <f t="shared" si="1"/>
        <v>86.28163509059992</v>
      </c>
      <c r="I14" s="91">
        <f t="shared" si="3"/>
        <v>2.0533994550961769</v>
      </c>
      <c r="J14" s="91">
        <f>IF(C14&gt;0.14,I14/B14*100,"")</f>
        <v>68.209027981823226</v>
      </c>
      <c r="K14" s="91">
        <f t="shared" si="2"/>
        <v>84.228235635503736</v>
      </c>
      <c r="M14">
        <v>6</v>
      </c>
      <c r="O14" s="17">
        <f>D14</f>
        <v>84.228235635503736</v>
      </c>
    </row>
    <row r="15" spans="1:51" ht="18" x14ac:dyDescent="0.25">
      <c r="A15" s="66" t="s">
        <v>57</v>
      </c>
      <c r="B15" s="15">
        <f>TEOR.EQ_A_G_5!G3</f>
        <v>0</v>
      </c>
      <c r="C15" s="15">
        <f>TIG.EQ_At_G_1!G3</f>
        <v>0</v>
      </c>
      <c r="D15" s="16" t="str">
        <f>IF(K15&gt;0,K15,"")</f>
        <v/>
      </c>
      <c r="E15" s="13" t="s">
        <v>14</v>
      </c>
      <c r="F15" s="20" t="e">
        <f>(F13-D13)+(F10-D10)+(F14-D14)</f>
        <v>#VALUE!</v>
      </c>
      <c r="G15" s="90"/>
      <c r="H15" s="91" t="str">
        <f t="shared" si="1"/>
        <v/>
      </c>
      <c r="I15" s="91" t="str">
        <f>IF(C15&gt;0,$B$6*C15/100,"")</f>
        <v/>
      </c>
      <c r="J15" s="91" t="str">
        <f>IF(B15&gt;0,I15/B15*100,"")</f>
        <v/>
      </c>
      <c r="K15" s="91" t="str">
        <f t="shared" si="2"/>
        <v/>
      </c>
      <c r="M15">
        <v>7</v>
      </c>
    </row>
    <row r="16" spans="1:51" ht="18" x14ac:dyDescent="0.25">
      <c r="A16" s="66" t="s">
        <v>58</v>
      </c>
      <c r="B16" s="15">
        <f>TEOR.EQ_A_G_5!H3</f>
        <v>0</v>
      </c>
      <c r="C16" s="15">
        <f>TIG.EQ_At_G_1!H3</f>
        <v>0</v>
      </c>
      <c r="D16" s="16" t="str">
        <f t="shared" si="4"/>
        <v/>
      </c>
      <c r="E16" s="13"/>
      <c r="F16" s="21" t="e">
        <f>D16*10</f>
        <v>#VALUE!</v>
      </c>
      <c r="G16" s="90"/>
      <c r="H16" s="91" t="str">
        <f t="shared" si="1"/>
        <v/>
      </c>
      <c r="I16" s="91" t="str">
        <f t="shared" si="3"/>
        <v/>
      </c>
      <c r="J16" s="91" t="str">
        <f>IF(B16&gt;0,I16/B16*100,"")</f>
        <v/>
      </c>
      <c r="K16" s="91" t="str">
        <f t="shared" si="2"/>
        <v/>
      </c>
      <c r="M16">
        <v>8</v>
      </c>
    </row>
    <row r="17" spans="1:15" ht="18" x14ac:dyDescent="0.25">
      <c r="A17" s="66" t="s">
        <v>77</v>
      </c>
      <c r="B17" s="15">
        <f>TEOR.EQ_A_G_5!I3</f>
        <v>0</v>
      </c>
      <c r="C17" s="15">
        <f>TIG.EQ_At_G_1!I3</f>
        <v>0</v>
      </c>
      <c r="D17" s="16" t="str">
        <f t="shared" si="4"/>
        <v/>
      </c>
      <c r="E17" s="13"/>
      <c r="F17" s="17" t="str">
        <f>D17</f>
        <v/>
      </c>
      <c r="G17" s="90"/>
      <c r="H17" s="91" t="str">
        <f t="shared" si="1"/>
        <v/>
      </c>
      <c r="I17" s="91" t="str">
        <f>IF(C17&gt;0,$B$6*C17/100,"")</f>
        <v/>
      </c>
      <c r="J17" s="91" t="str">
        <f>IF(B17&gt;0,I17/B17*100,"")</f>
        <v/>
      </c>
      <c r="K17" s="91" t="str">
        <f t="shared" si="2"/>
        <v/>
      </c>
      <c r="M17">
        <v>9</v>
      </c>
      <c r="O17" s="17" t="str">
        <f>D17</f>
        <v/>
      </c>
    </row>
    <row r="18" spans="1:15" ht="18" x14ac:dyDescent="0.25">
      <c r="A18" s="66" t="s">
        <v>204</v>
      </c>
      <c r="B18" s="15">
        <f>TEOR.EQ_A_G_5!J3</f>
        <v>0</v>
      </c>
      <c r="C18" s="15">
        <f>TIG.EQ_At_G_1!J3</f>
        <v>0</v>
      </c>
      <c r="D18" s="92" t="str">
        <f t="shared" si="4"/>
        <v/>
      </c>
      <c r="H18" s="91" t="str">
        <f t="shared" si="1"/>
        <v/>
      </c>
      <c r="I18" s="91" t="str">
        <f t="shared" ref="I18:I32" si="5">IF(C18&gt;0,$B$6*C18/100,"")</f>
        <v/>
      </c>
      <c r="J18" s="91" t="str">
        <f t="shared" ref="J18:J32" si="6">IF(B18&gt;0,I18/B18*100,"")</f>
        <v/>
      </c>
      <c r="K18" s="91" t="str">
        <f>IF(H18&gt;H50,(H18-I18),"")</f>
        <v/>
      </c>
      <c r="M18">
        <v>10</v>
      </c>
      <c r="O18" s="17" t="str">
        <f>D18</f>
        <v/>
      </c>
    </row>
    <row r="19" spans="1:15" ht="18" x14ac:dyDescent="0.25">
      <c r="A19" s="66" t="s">
        <v>16</v>
      </c>
      <c r="B19" s="15">
        <f>TEOR.EQ_A_G_5!K3</f>
        <v>0.5582790132896347</v>
      </c>
      <c r="C19" s="15">
        <f>TIG.EQ_At_G_1!K3</f>
        <v>1.6000667006096232</v>
      </c>
      <c r="D19" t="str">
        <f t="shared" si="4"/>
        <v/>
      </c>
      <c r="H19" s="91">
        <f t="shared" si="1"/>
        <v>16.000667006096233</v>
      </c>
      <c r="I19" s="91">
        <f t="shared" si="5"/>
        <v>16.000667006096233</v>
      </c>
      <c r="J19" s="91">
        <f t="shared" si="6"/>
        <v>2866.069944455372</v>
      </c>
      <c r="K19" s="91">
        <f t="shared" si="2"/>
        <v>0</v>
      </c>
      <c r="M19">
        <v>11</v>
      </c>
      <c r="O19" t="str">
        <f>D19</f>
        <v/>
      </c>
    </row>
    <row r="20" spans="1:15" ht="18" x14ac:dyDescent="0.25">
      <c r="A20" s="66" t="s">
        <v>12</v>
      </c>
      <c r="B20" s="15">
        <f>TEOR.EQ_A_G_5!L3</f>
        <v>0</v>
      </c>
      <c r="C20" s="15">
        <f>TIG.EQ_At_G_1!L3</f>
        <v>0</v>
      </c>
      <c r="D20" t="str">
        <f t="shared" si="4"/>
        <v/>
      </c>
      <c r="H20" s="91" t="str">
        <f t="shared" si="1"/>
        <v/>
      </c>
      <c r="I20" s="91" t="str">
        <f t="shared" si="5"/>
        <v/>
      </c>
      <c r="J20" s="91" t="str">
        <f t="shared" si="6"/>
        <v/>
      </c>
      <c r="K20" s="91" t="str">
        <f>IF(H20&gt;H52,(H20-I20),"")</f>
        <v/>
      </c>
      <c r="M20">
        <v>12</v>
      </c>
      <c r="O20" t="str">
        <f>D20</f>
        <v/>
      </c>
    </row>
    <row r="21" spans="1:15" ht="18" x14ac:dyDescent="0.25">
      <c r="A21" s="66" t="s">
        <v>44</v>
      </c>
      <c r="B21" s="15">
        <f>TEOR.EQ_A_G_5!M3</f>
        <v>26.507216481520114</v>
      </c>
      <c r="C21" s="15">
        <f>TIG.EQ_At_G_1!M3</f>
        <v>1.3000541942453192</v>
      </c>
      <c r="D21">
        <f t="shared" si="4"/>
        <v>746.7148227461156</v>
      </c>
      <c r="H21" s="91">
        <f t="shared" si="1"/>
        <v>759.7153646885688</v>
      </c>
      <c r="I21" s="91">
        <f t="shared" si="5"/>
        <v>13.000541942453191</v>
      </c>
      <c r="J21" s="91">
        <f t="shared" si="6"/>
        <v>49.045292822491213</v>
      </c>
      <c r="K21" s="91">
        <f t="shared" si="2"/>
        <v>746.7148227461156</v>
      </c>
      <c r="M21">
        <v>13</v>
      </c>
      <c r="O21">
        <f>D21</f>
        <v>746.7148227461156</v>
      </c>
    </row>
    <row r="22" spans="1:15" ht="18" x14ac:dyDescent="0.25">
      <c r="A22" s="66" t="s">
        <v>55</v>
      </c>
      <c r="B22" s="15">
        <f>TEOR.EQ_A_G_5!N3</f>
        <v>0.97504147262943064</v>
      </c>
      <c r="C22" s="15">
        <f>TIG.EQ_At_G_1!N3</f>
        <v>0.19000792069739278</v>
      </c>
      <c r="D22">
        <f t="shared" si="4"/>
        <v>26.045291386033238</v>
      </c>
      <c r="H22" s="91">
        <f t="shared" si="1"/>
        <v>27.945370593007166</v>
      </c>
      <c r="I22" s="91">
        <f t="shared" si="5"/>
        <v>1.9000792069739278</v>
      </c>
      <c r="J22" s="91">
        <f t="shared" si="6"/>
        <v>194.87162959847376</v>
      </c>
      <c r="K22" s="91">
        <f>IF(H22&gt;H64,(H22-I22),"")</f>
        <v>26.045291386033238</v>
      </c>
      <c r="M22">
        <v>14</v>
      </c>
    </row>
    <row r="23" spans="1:15" ht="18" x14ac:dyDescent="0.25">
      <c r="A23" s="66" t="s">
        <v>17</v>
      </c>
      <c r="B23" s="15">
        <f>TEOR.EQ_A_G_5!O3</f>
        <v>0</v>
      </c>
      <c r="C23" s="15">
        <f>TIG.EQ_At_G_1!O3</f>
        <v>0</v>
      </c>
      <c r="D23" t="str">
        <f>IF(K23&gt;0,K23,"")</f>
        <v/>
      </c>
      <c r="H23" s="91" t="str">
        <f t="shared" si="1"/>
        <v/>
      </c>
      <c r="I23" s="91" t="str">
        <f t="shared" si="5"/>
        <v/>
      </c>
      <c r="J23" s="91" t="str">
        <f t="shared" si="6"/>
        <v/>
      </c>
      <c r="K23" s="91" t="str">
        <f>IF(H23&gt;H65,(H23-I23),"")</f>
        <v/>
      </c>
      <c r="M23">
        <v>15</v>
      </c>
    </row>
    <row r="24" spans="1:15" ht="18" x14ac:dyDescent="0.25">
      <c r="A24" s="66" t="s">
        <v>80</v>
      </c>
      <c r="B24" s="15">
        <f>TEOR.EQ_A_G_5!P3</f>
        <v>0</v>
      </c>
      <c r="C24" s="15">
        <f>TIG.EQ_At_G_1!P3</f>
        <v>5.2002167769812764E-2</v>
      </c>
      <c r="D24" t="str">
        <f>IF(K24&gt;0,K24,"")</f>
        <v/>
      </c>
      <c r="E24" t="s">
        <v>90</v>
      </c>
      <c r="F24" s="3"/>
      <c r="G24" s="3"/>
      <c r="H24" s="91" t="str">
        <f t="shared" si="1"/>
        <v/>
      </c>
      <c r="I24" s="91">
        <f t="shared" si="5"/>
        <v>0.52002167769812768</v>
      </c>
      <c r="J24" s="91" t="str">
        <f t="shared" si="6"/>
        <v/>
      </c>
      <c r="K24" s="91" t="str">
        <f>IF(H24&gt;H66,(H24-I24),"")</f>
        <v/>
      </c>
      <c r="L24" s="3"/>
      <c r="M24">
        <v>16</v>
      </c>
    </row>
    <row r="25" spans="1:15" ht="18" x14ac:dyDescent="0.25">
      <c r="A25" s="66" t="s">
        <v>81</v>
      </c>
      <c r="B25" s="15">
        <f>TEOR.EQ_A_G_5!Q3</f>
        <v>0</v>
      </c>
      <c r="C25" s="15">
        <f>TIG.EQ_At_G_1!Q3</f>
        <v>0</v>
      </c>
      <c r="D25" t="str">
        <f t="shared" si="4"/>
        <v/>
      </c>
      <c r="F25" s="69"/>
      <c r="G25" s="69"/>
      <c r="H25" s="91" t="str">
        <f t="shared" si="1"/>
        <v/>
      </c>
      <c r="I25" s="91" t="str">
        <f t="shared" si="5"/>
        <v/>
      </c>
      <c r="J25" s="91" t="str">
        <f t="shared" si="6"/>
        <v/>
      </c>
      <c r="K25" s="91" t="str">
        <f t="shared" si="2"/>
        <v/>
      </c>
      <c r="L25" s="69"/>
      <c r="M25">
        <v>17</v>
      </c>
    </row>
    <row r="26" spans="1:15" ht="18" x14ac:dyDescent="0.25">
      <c r="A26" s="66" t="s">
        <v>82</v>
      </c>
      <c r="B26" s="15">
        <f>TEOR.EQ_A_G_5!R3</f>
        <v>0</v>
      </c>
      <c r="C26" s="15">
        <f>TIG.EQ_At_G_1!R3</f>
        <v>0</v>
      </c>
      <c r="D26" t="str">
        <f t="shared" si="4"/>
        <v/>
      </c>
      <c r="E26" t="s">
        <v>91</v>
      </c>
      <c r="F26" s="4"/>
      <c r="G26" s="4"/>
      <c r="H26" s="91" t="str">
        <f t="shared" si="1"/>
        <v/>
      </c>
      <c r="I26" s="91" t="str">
        <f t="shared" si="5"/>
        <v/>
      </c>
      <c r="J26" s="91" t="str">
        <f t="shared" si="6"/>
        <v/>
      </c>
      <c r="K26" s="91" t="str">
        <f t="shared" si="2"/>
        <v/>
      </c>
      <c r="L26" s="4"/>
      <c r="M26">
        <v>18</v>
      </c>
    </row>
    <row r="27" spans="1:15" ht="18" x14ac:dyDescent="0.25">
      <c r="A27" s="66" t="s">
        <v>83</v>
      </c>
      <c r="B27" s="15">
        <f>TEOR.EQ_A_G_5!S3</f>
        <v>0</v>
      </c>
      <c r="C27" s="15">
        <f>TIG.EQ_At_G_1!S3</f>
        <v>0</v>
      </c>
      <c r="D27" t="str">
        <f t="shared" si="4"/>
        <v/>
      </c>
      <c r="H27" s="91" t="str">
        <f t="shared" si="1"/>
        <v/>
      </c>
      <c r="I27" s="91" t="str">
        <f t="shared" si="5"/>
        <v/>
      </c>
      <c r="J27" s="91" t="str">
        <f t="shared" si="6"/>
        <v/>
      </c>
      <c r="K27" s="91" t="str">
        <f t="shared" si="2"/>
        <v/>
      </c>
      <c r="M27">
        <v>19</v>
      </c>
    </row>
    <row r="28" spans="1:15" ht="18" x14ac:dyDescent="0.25">
      <c r="A28" s="66" t="s">
        <v>45</v>
      </c>
      <c r="B28" s="15">
        <f>TEOR.EQ_A_G_5!T3</f>
        <v>0</v>
      </c>
      <c r="C28" s="15">
        <f>TIG.EQ_At_G_1!T3</f>
        <v>0</v>
      </c>
      <c r="D28" t="str">
        <f t="shared" si="4"/>
        <v/>
      </c>
      <c r="H28" s="91" t="str">
        <f t="shared" si="1"/>
        <v/>
      </c>
      <c r="I28" s="91" t="str">
        <f t="shared" si="5"/>
        <v/>
      </c>
      <c r="J28" s="91" t="str">
        <f t="shared" si="6"/>
        <v/>
      </c>
      <c r="K28" s="91" t="str">
        <f t="shared" si="2"/>
        <v/>
      </c>
      <c r="M28">
        <v>20</v>
      </c>
    </row>
    <row r="29" spans="1:15" ht="18" x14ac:dyDescent="0.25">
      <c r="A29" s="66" t="s">
        <v>43</v>
      </c>
      <c r="B29" s="15">
        <f>TEOR.EQ_A_G_5!U3</f>
        <v>0</v>
      </c>
      <c r="C29" s="15">
        <f>TIG.EQ_At_G_1!U3</f>
        <v>0</v>
      </c>
      <c r="D29" t="str">
        <f t="shared" si="4"/>
        <v/>
      </c>
      <c r="H29" s="91" t="str">
        <f t="shared" si="1"/>
        <v/>
      </c>
      <c r="I29" s="91" t="str">
        <f t="shared" si="5"/>
        <v/>
      </c>
      <c r="J29" s="91" t="str">
        <f t="shared" si="6"/>
        <v/>
      </c>
      <c r="K29" s="91" t="str">
        <f t="shared" si="2"/>
        <v/>
      </c>
      <c r="M29">
        <v>21</v>
      </c>
    </row>
    <row r="30" spans="1:15" ht="18" x14ac:dyDescent="0.25">
      <c r="A30" s="66" t="s">
        <v>13</v>
      </c>
      <c r="B30" s="15">
        <f>TEOR.EQ_A_G_5!V3</f>
        <v>0</v>
      </c>
      <c r="C30" s="15">
        <f>TIG.EQ_At_G_1!V3</f>
        <v>0</v>
      </c>
      <c r="D30" t="str">
        <f t="shared" si="4"/>
        <v/>
      </c>
      <c r="H30" s="91" t="str">
        <f t="shared" si="1"/>
        <v/>
      </c>
      <c r="I30" s="91" t="str">
        <f t="shared" si="5"/>
        <v/>
      </c>
      <c r="J30" s="91" t="str">
        <f t="shared" si="6"/>
        <v/>
      </c>
      <c r="K30" s="91" t="str">
        <f t="shared" si="2"/>
        <v/>
      </c>
      <c r="M30">
        <v>22</v>
      </c>
    </row>
    <row r="31" spans="1:15" ht="18" x14ac:dyDescent="0.25">
      <c r="A31" s="66" t="s">
        <v>0</v>
      </c>
      <c r="B31" s="15">
        <f>TEOR.EQ_A_G_5!W3</f>
        <v>0</v>
      </c>
      <c r="C31" s="15">
        <f>TIG.EQ_At_G_1!W3</f>
        <v>0</v>
      </c>
      <c r="D31" t="str">
        <f t="shared" si="4"/>
        <v/>
      </c>
      <c r="H31" s="91" t="str">
        <f t="shared" si="1"/>
        <v/>
      </c>
      <c r="I31" s="91" t="str">
        <f t="shared" si="5"/>
        <v/>
      </c>
      <c r="J31" s="91" t="str">
        <f t="shared" si="6"/>
        <v/>
      </c>
      <c r="K31" s="91" t="str">
        <f t="shared" si="2"/>
        <v/>
      </c>
      <c r="M31">
        <v>23</v>
      </c>
    </row>
    <row r="32" spans="1:15" ht="18" x14ac:dyDescent="0.25">
      <c r="A32" s="66" t="s">
        <v>11</v>
      </c>
      <c r="B32" s="15">
        <f>TEOR.EQ_A_G_5!X3</f>
        <v>0</v>
      </c>
      <c r="C32" s="15">
        <f>TIG.EQ_At_G_1!X3</f>
        <v>0</v>
      </c>
      <c r="D32" t="str">
        <f t="shared" si="4"/>
        <v/>
      </c>
      <c r="H32" s="91" t="str">
        <f t="shared" si="1"/>
        <v/>
      </c>
      <c r="I32" s="91" t="str">
        <f t="shared" si="5"/>
        <v/>
      </c>
      <c r="J32" s="91" t="str">
        <f t="shared" si="6"/>
        <v/>
      </c>
      <c r="K32" s="91" t="str">
        <f>IF(H32&gt;H64,(H32-I32),"")</f>
        <v/>
      </c>
      <c r="M32">
        <v>24</v>
      </c>
    </row>
    <row r="33" spans="1:26" ht="18" x14ac:dyDescent="0.25">
      <c r="A33" s="66" t="s">
        <v>10</v>
      </c>
      <c r="B33" s="15">
        <f>TEOR.EQ_A_G_5!Y3</f>
        <v>0</v>
      </c>
      <c r="C33" s="15">
        <f>TIG.EQ_At_G_1!Y3</f>
        <v>0</v>
      </c>
      <c r="D33">
        <f>IF(K34&gt;0,K34,"")</f>
        <v>1880.8905622697682</v>
      </c>
      <c r="E33" s="17" t="e">
        <f>D15-F33</f>
        <v>#VALUE!</v>
      </c>
      <c r="F33" s="17" t="e">
        <f>(F14-D14)+(F13-D13)</f>
        <v>#VALUE!</v>
      </c>
      <c r="G33" s="90" t="s">
        <v>30</v>
      </c>
      <c r="H33" s="91">
        <f>SUM(H9:H32)</f>
        <v>2866.069944455372</v>
      </c>
      <c r="I33" s="91">
        <f>SUM(I9:I32)</f>
        <v>1000</v>
      </c>
      <c r="J33" s="91">
        <f>MAX(J9:J32)</f>
        <v>2866.069944455372</v>
      </c>
      <c r="K33" s="91">
        <f>IF(H33&gt;H65,(H33-I33),"")</f>
        <v>1866.069944455372</v>
      </c>
      <c r="M33">
        <v>25</v>
      </c>
    </row>
    <row r="34" spans="1:26" x14ac:dyDescent="0.25">
      <c r="B34" s="14">
        <f>SUM(B9:B33)</f>
        <v>99.999999999999986</v>
      </c>
      <c r="C34" s="14">
        <f>SUM(C9:C32)</f>
        <v>100.00000000000001</v>
      </c>
      <c r="D34" s="18">
        <f>SUM(D10:D33)</f>
        <v>2750.7915604570699</v>
      </c>
      <c r="G34" s="337" t="s">
        <v>31</v>
      </c>
      <c r="H34" s="338"/>
      <c r="I34" s="91"/>
      <c r="J34" s="91">
        <f>IF(B6&gt;0,B6+D33,"")</f>
        <v>2880.8905622697685</v>
      </c>
      <c r="K34" s="91">
        <f>SUM(K9:K32)</f>
        <v>1880.8905622697682</v>
      </c>
    </row>
    <row r="35" spans="1:26" ht="18" x14ac:dyDescent="0.25">
      <c r="A35">
        <f>'OK OK'!A3</f>
        <v>0</v>
      </c>
      <c r="B35" s="210" t="s">
        <v>14</v>
      </c>
      <c r="C35" s="210" t="s">
        <v>15</v>
      </c>
      <c r="D35" s="210" t="s">
        <v>8</v>
      </c>
      <c r="E35" s="210" t="s">
        <v>9</v>
      </c>
      <c r="F35" s="210" t="s">
        <v>234</v>
      </c>
      <c r="G35" s="210" t="s">
        <v>56</v>
      </c>
      <c r="H35" s="210" t="s">
        <v>57</v>
      </c>
      <c r="I35" s="210" t="s">
        <v>58</v>
      </c>
      <c r="J35" s="210" t="s">
        <v>77</v>
      </c>
      <c r="K35" s="210" t="s">
        <v>204</v>
      </c>
      <c r="L35" s="210" t="s">
        <v>16</v>
      </c>
      <c r="M35" s="210" t="s">
        <v>12</v>
      </c>
      <c r="N35" s="210" t="s">
        <v>44</v>
      </c>
      <c r="O35" s="210" t="s">
        <v>55</v>
      </c>
      <c r="P35" s="210" t="s">
        <v>17</v>
      </c>
      <c r="Q35" s="210" t="s">
        <v>80</v>
      </c>
      <c r="R35" s="210" t="s">
        <v>81</v>
      </c>
      <c r="S35" s="210" t="s">
        <v>82</v>
      </c>
      <c r="T35" s="210" t="s">
        <v>83</v>
      </c>
      <c r="U35" s="210" t="s">
        <v>45</v>
      </c>
      <c r="V35" s="210" t="s">
        <v>43</v>
      </c>
      <c r="W35" s="210" t="s">
        <v>13</v>
      </c>
      <c r="X35" s="210" t="s">
        <v>0</v>
      </c>
      <c r="Y35" s="210" t="s">
        <v>11</v>
      </c>
      <c r="Z35" s="210" t="s">
        <v>10</v>
      </c>
    </row>
    <row r="36" spans="1:26" x14ac:dyDescent="0.25">
      <c r="A36" s="124" t="str">
        <f>'OK OK'!A4</f>
        <v>Composition in the crucible</v>
      </c>
      <c r="B36">
        <f>'OK OK'!B4</f>
        <v>94.328499999999991</v>
      </c>
      <c r="C36">
        <f>'OK OK'!C4</f>
        <v>0.89</v>
      </c>
      <c r="D36">
        <f>'OK OK'!D4</f>
        <v>1.43</v>
      </c>
      <c r="E36">
        <f>'OK OK'!E4</f>
        <v>0</v>
      </c>
      <c r="F36">
        <f>'OK OK'!F4</f>
        <v>0</v>
      </c>
      <c r="G36">
        <f>'OK OK'!G4</f>
        <v>0.2</v>
      </c>
      <c r="H36">
        <f>'OK OK'!H4</f>
        <v>5.0000000000000001E-3</v>
      </c>
      <c r="I36">
        <f>'OK OK'!I4</f>
        <v>1E-3</v>
      </c>
      <c r="J36">
        <f>'OK OK'!J4</f>
        <v>1E-3</v>
      </c>
      <c r="K36">
        <f>'OK OK'!K4</f>
        <v>1.5E-3</v>
      </c>
      <c r="L36">
        <f>'OK OK'!L4</f>
        <v>1.6</v>
      </c>
      <c r="M36">
        <f>'OK OK'!M4</f>
        <v>1E-3</v>
      </c>
      <c r="N36">
        <f>'OK OK'!N4</f>
        <v>1.3</v>
      </c>
      <c r="O36">
        <f>'OK OK'!O4</f>
        <v>0.19</v>
      </c>
      <c r="P36">
        <f>'OK OK'!P4</f>
        <v>0</v>
      </c>
      <c r="Q36">
        <f>'OK OK'!Q4</f>
        <v>5.1999999999999998E-2</v>
      </c>
      <c r="R36">
        <f>'OK OK'!R4</f>
        <v>0</v>
      </c>
      <c r="S36">
        <f>'OK OK'!S4</f>
        <v>0</v>
      </c>
      <c r="T36">
        <f>'OK OK'!T4</f>
        <v>0</v>
      </c>
      <c r="U36">
        <f>'OK OK'!U4</f>
        <v>0</v>
      </c>
      <c r="V36">
        <f>'OK OK'!V4</f>
        <v>0</v>
      </c>
      <c r="W36">
        <f>'OK OK'!W4</f>
        <v>0</v>
      </c>
      <c r="X36">
        <f>'OK OK'!X4</f>
        <v>0</v>
      </c>
      <c r="Y36">
        <f>'OK OK'!Y4</f>
        <v>0</v>
      </c>
      <c r="Z36">
        <f>'OK OK'!Z4</f>
        <v>0</v>
      </c>
    </row>
    <row r="37" spans="1:26" x14ac:dyDescent="0.25">
      <c r="A37" s="96" t="s">
        <v>165</v>
      </c>
      <c r="B37">
        <f>100-C37-D37-E37-F37-G37-H37-I37-J37-K37-L37-M37-N37-O37-P37-Q37-R37-S37-T37-U37-V37-W37-X37-Y37-Z37</f>
        <v>98.021157853815851</v>
      </c>
      <c r="C37">
        <f>C36/G6</f>
        <v>0.31052975581484743</v>
      </c>
      <c r="D37">
        <f>D36/G6</f>
        <v>0.49894106833172108</v>
      </c>
      <c r="E37">
        <f>E36/G6</f>
        <v>0</v>
      </c>
      <c r="F37">
        <f>F36/G6</f>
        <v>0</v>
      </c>
      <c r="G37">
        <f>G36/G6</f>
        <v>6.9781967598842115E-2</v>
      </c>
      <c r="H37">
        <f>H36/G6</f>
        <v>1.744549189971053E-3</v>
      </c>
      <c r="I37">
        <f>I36/G6</f>
        <v>3.4890983799421059E-4</v>
      </c>
      <c r="J37">
        <f>J36/G6</f>
        <v>3.4890983799421059E-4</v>
      </c>
      <c r="K37">
        <f>K36/G6</f>
        <v>5.2336475699131589E-4</v>
      </c>
      <c r="L37">
        <f>L36/G6</f>
        <v>0.55825574079073692</v>
      </c>
      <c r="M37">
        <f>M36/G6</f>
        <v>3.4890983799421059E-4</v>
      </c>
      <c r="N37">
        <f>N36/G6</f>
        <v>0.45358278939247376</v>
      </c>
      <c r="O37">
        <f>O36/G6</f>
        <v>6.6292869218900013E-2</v>
      </c>
      <c r="P37">
        <f>P36/G6</f>
        <v>0</v>
      </c>
      <c r="Q37">
        <f>Q36/G6</f>
        <v>1.8143311575698949E-2</v>
      </c>
      <c r="R37">
        <f>R36/G6</f>
        <v>0</v>
      </c>
      <c r="S37">
        <f>S36/G6</f>
        <v>0</v>
      </c>
      <c r="T37">
        <f>T36/G6</f>
        <v>0</v>
      </c>
      <c r="U37">
        <f>U36/G6</f>
        <v>0</v>
      </c>
      <c r="V37">
        <f>V36/G6</f>
        <v>0</v>
      </c>
      <c r="W37">
        <f>W36/G6</f>
        <v>0</v>
      </c>
      <c r="X37">
        <f>X36/G6</f>
        <v>0</v>
      </c>
      <c r="Y37">
        <f>Y36/G6</f>
        <v>0</v>
      </c>
      <c r="Z37">
        <f>Z36/G6</f>
        <v>0</v>
      </c>
    </row>
    <row r="54" spans="1:51" ht="18.75" x14ac:dyDescent="0.3">
      <c r="B54" s="210" t="s">
        <v>14</v>
      </c>
      <c r="C54" s="210" t="s">
        <v>15</v>
      </c>
      <c r="D54" s="210" t="s">
        <v>8</v>
      </c>
      <c r="E54" s="210" t="s">
        <v>9</v>
      </c>
      <c r="F54" s="210" t="s">
        <v>234</v>
      </c>
      <c r="G54" s="210" t="s">
        <v>56</v>
      </c>
      <c r="H54" s="210" t="s">
        <v>57</v>
      </c>
      <c r="I54" s="210" t="s">
        <v>58</v>
      </c>
      <c r="J54" s="210" t="s">
        <v>77</v>
      </c>
      <c r="K54" s="210" t="s">
        <v>204</v>
      </c>
      <c r="L54" s="210" t="s">
        <v>16</v>
      </c>
      <c r="M54" s="210" t="s">
        <v>12</v>
      </c>
      <c r="N54" s="210" t="s">
        <v>44</v>
      </c>
      <c r="O54" s="210" t="s">
        <v>55</v>
      </c>
      <c r="P54" s="210" t="s">
        <v>17</v>
      </c>
      <c r="Q54" s="210" t="s">
        <v>80</v>
      </c>
      <c r="R54" s="210" t="s">
        <v>81</v>
      </c>
      <c r="S54" s="210" t="s">
        <v>82</v>
      </c>
      <c r="T54" s="210" t="s">
        <v>83</v>
      </c>
      <c r="U54" s="210" t="s">
        <v>45</v>
      </c>
      <c r="V54" s="210" t="s">
        <v>43</v>
      </c>
      <c r="W54" s="210" t="s">
        <v>13</v>
      </c>
      <c r="X54" s="210" t="s">
        <v>0</v>
      </c>
      <c r="Y54" s="210" t="s">
        <v>11</v>
      </c>
      <c r="Z54" s="210" t="s">
        <v>10</v>
      </c>
      <c r="AA54" s="211" t="s">
        <v>14</v>
      </c>
      <c r="AB54" s="212" t="s">
        <v>15</v>
      </c>
      <c r="AC54" s="213" t="s">
        <v>8</v>
      </c>
      <c r="AD54" s="214" t="s">
        <v>9</v>
      </c>
      <c r="AE54" s="213" t="s">
        <v>234</v>
      </c>
      <c r="AF54" s="213" t="s">
        <v>56</v>
      </c>
      <c r="AG54" s="214" t="s">
        <v>57</v>
      </c>
      <c r="AH54" s="213" t="s">
        <v>58</v>
      </c>
      <c r="AI54" s="215" t="s">
        <v>77</v>
      </c>
      <c r="AJ54" s="216" t="s">
        <v>204</v>
      </c>
      <c r="AK54" s="216" t="s">
        <v>16</v>
      </c>
      <c r="AL54" s="210" t="s">
        <v>13</v>
      </c>
      <c r="AM54" s="215" t="s">
        <v>44</v>
      </c>
      <c r="AN54" s="216" t="s">
        <v>55</v>
      </c>
      <c r="AO54" s="210" t="s">
        <v>17</v>
      </c>
      <c r="AP54" s="210" t="s">
        <v>80</v>
      </c>
      <c r="AQ54" s="210" t="s">
        <v>81</v>
      </c>
      <c r="AR54" s="210" t="s">
        <v>82</v>
      </c>
      <c r="AS54" s="210" t="s">
        <v>83</v>
      </c>
      <c r="AT54" s="210" t="s">
        <v>45</v>
      </c>
      <c r="AU54" s="210" t="s">
        <v>43</v>
      </c>
      <c r="AV54" s="210" t="s">
        <v>12</v>
      </c>
      <c r="AW54" s="210" t="s">
        <v>0</v>
      </c>
      <c r="AX54" s="210" t="s">
        <v>11</v>
      </c>
      <c r="AY54" s="210" t="s">
        <v>10</v>
      </c>
    </row>
    <row r="55" spans="1:51" ht="18.75" x14ac:dyDescent="0.3">
      <c r="B55" s="36">
        <f>100-C55-D55-E55-F55-G55-H55-I55-J55-K55-L55-M55-N55-O55-P55-Q55-R55-S55-T55-U55-V55-W55-X55-Y55-Z55</f>
        <v>98.021157853815851</v>
      </c>
      <c r="C55" s="37">
        <f>C37</f>
        <v>0.31052975581484743</v>
      </c>
      <c r="D55" s="37">
        <f t="shared" ref="D55:Z55" si="7">D37</f>
        <v>0.49894106833172108</v>
      </c>
      <c r="E55" s="37">
        <f t="shared" si="7"/>
        <v>0</v>
      </c>
      <c r="F55" s="37">
        <f t="shared" si="7"/>
        <v>0</v>
      </c>
      <c r="G55" s="37">
        <f t="shared" si="7"/>
        <v>6.9781967598842115E-2</v>
      </c>
      <c r="H55" s="37">
        <f t="shared" si="7"/>
        <v>1.744549189971053E-3</v>
      </c>
      <c r="I55" s="37">
        <f t="shared" si="7"/>
        <v>3.4890983799421059E-4</v>
      </c>
      <c r="J55" s="37">
        <f t="shared" si="7"/>
        <v>3.4890983799421059E-4</v>
      </c>
      <c r="K55" s="37">
        <f t="shared" si="7"/>
        <v>5.2336475699131589E-4</v>
      </c>
      <c r="L55" s="37">
        <f t="shared" si="7"/>
        <v>0.55825574079073692</v>
      </c>
      <c r="M55" s="37">
        <f t="shared" si="7"/>
        <v>3.4890983799421059E-4</v>
      </c>
      <c r="N55" s="37">
        <f t="shared" si="7"/>
        <v>0.45358278939247376</v>
      </c>
      <c r="O55" s="37">
        <f t="shared" si="7"/>
        <v>6.6292869218900013E-2</v>
      </c>
      <c r="P55" s="37">
        <f t="shared" si="7"/>
        <v>0</v>
      </c>
      <c r="Q55" s="37">
        <f t="shared" si="7"/>
        <v>1.8143311575698949E-2</v>
      </c>
      <c r="R55" s="37">
        <f t="shared" si="7"/>
        <v>0</v>
      </c>
      <c r="S55" s="37">
        <f t="shared" si="7"/>
        <v>0</v>
      </c>
      <c r="T55" s="37">
        <f t="shared" si="7"/>
        <v>0</v>
      </c>
      <c r="U55" s="37">
        <f t="shared" si="7"/>
        <v>0</v>
      </c>
      <c r="V55" s="37">
        <f t="shared" si="7"/>
        <v>0</v>
      </c>
      <c r="W55" s="37">
        <f t="shared" si="7"/>
        <v>0</v>
      </c>
      <c r="X55" s="37">
        <f t="shared" si="7"/>
        <v>0</v>
      </c>
      <c r="Y55" s="37">
        <f t="shared" si="7"/>
        <v>0</v>
      </c>
      <c r="Z55" s="37">
        <f t="shared" si="7"/>
        <v>0</v>
      </c>
      <c r="AA55" s="219">
        <v>55.84</v>
      </c>
      <c r="AB55" s="219">
        <v>28.0855</v>
      </c>
      <c r="AC55" s="219">
        <v>58.693399999999997</v>
      </c>
      <c r="AD55" s="219">
        <v>63.545999999999999</v>
      </c>
      <c r="AE55" s="219">
        <v>65.38</v>
      </c>
      <c r="AF55" s="219">
        <v>12.01</v>
      </c>
      <c r="AG55" s="219">
        <v>30.973762000000001</v>
      </c>
      <c r="AH55" s="219">
        <v>32.064999999999998</v>
      </c>
      <c r="AI55" s="219">
        <v>14.0067</v>
      </c>
      <c r="AJ55" s="219">
        <v>10.81</v>
      </c>
      <c r="AK55" s="219">
        <v>54.938043999999998</v>
      </c>
      <c r="AL55" s="219">
        <v>24.305</v>
      </c>
      <c r="AM55" s="219">
        <v>51.996099999999998</v>
      </c>
      <c r="AN55" s="219">
        <v>95.95</v>
      </c>
      <c r="AO55" s="220">
        <v>47.866999999999997</v>
      </c>
      <c r="AP55" s="220">
        <v>50.941499999999998</v>
      </c>
      <c r="AQ55" s="220">
        <v>92.906369999999995</v>
      </c>
      <c r="AR55" s="220">
        <v>183.84</v>
      </c>
      <c r="AS55" s="220">
        <v>180.94788</v>
      </c>
      <c r="AT55" s="220">
        <v>91.224000000000004</v>
      </c>
      <c r="AU55" s="220">
        <v>58.933194999999998</v>
      </c>
      <c r="AV55" s="220">
        <v>26.981539999999999</v>
      </c>
      <c r="AW55" s="219">
        <v>121.76</v>
      </c>
      <c r="AX55" s="219">
        <v>207.2</v>
      </c>
      <c r="AY55" s="219">
        <v>118.71</v>
      </c>
    </row>
    <row r="56" spans="1:51" ht="18.75" x14ac:dyDescent="0.3">
      <c r="A56" s="96" t="s">
        <v>166</v>
      </c>
      <c r="B56" s="36">
        <f>100*((((B55)/(AA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97.475932292799357</v>
      </c>
      <c r="C56" s="36">
        <f>100*((((C55)/(AB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0.61396560315717275</v>
      </c>
      <c r="D56" s="36">
        <f>100*((((D55)/(AC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0.47204452356133075</v>
      </c>
      <c r="E56" s="36">
        <f>100*((((E55)/(AD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F56" s="36">
        <f>100*((((F55)/(AE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G56" s="36">
        <f>100*((((G55)/(AF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0.3226436948136997</v>
      </c>
      <c r="H56" s="36">
        <f>100*((((H55)/(AG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3.1276074687928879E-3</v>
      </c>
      <c r="I56" s="36">
        <f>100*((((I55)/(AH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6.042337088277771E-4</v>
      </c>
      <c r="J56" s="36">
        <f>100*((((J55)/(AI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1.3832490075151654E-3</v>
      </c>
      <c r="K56" s="36">
        <f>100*((((K55)/(AJ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2.6884487336118414E-3</v>
      </c>
      <c r="L56" s="36">
        <f>100*((((L55)/(AK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0.5642648325393651</v>
      </c>
      <c r="M56" s="36">
        <f>100*((((M55)/(AL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7.971509513911816E-4</v>
      </c>
      <c r="N56" s="36">
        <f>100*((((N55)/(AM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0.48440517722735876</v>
      </c>
      <c r="O56" s="36">
        <f>100*((((O55)/(AN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3.8365849254579538E-2</v>
      </c>
      <c r="P56" s="36">
        <f>100*((((P55)/(AO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Q56" s="36">
        <f>100*((((Q55)/(AP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1.9777336776994371E-2</v>
      </c>
      <c r="R56" s="36">
        <f>100*((((R55)/(AQ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S56" s="36">
        <f>100*((((S55)/(AR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T56" s="36">
        <f>100*((((T55)/(AS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U56" s="36">
        <f>100*((((U55)/(AT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V56" s="36">
        <f>100*((((V55)/(AU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W56" s="36">
        <f>100*((((W55)/(AV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X56" s="7">
        <f>100*((((X55)/(AW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Y56" s="7">
        <f>100*((((Y55)/(AX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Z56" s="7">
        <f>100*((((Z55)/(AY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0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</sheetData>
  <mergeCells count="1">
    <mergeCell ref="G34:H34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8D56C-A5EA-4479-A344-06E1DF2AF6ED}">
  <dimension ref="A1:AY56"/>
  <sheetViews>
    <sheetView topLeftCell="K1" zoomScale="98" zoomScaleNormal="98" workbookViewId="0">
      <selection activeCell="Z1" sqref="Z1:AX2"/>
    </sheetView>
  </sheetViews>
  <sheetFormatPr baseColWidth="10" defaultRowHeight="15" x14ac:dyDescent="0.25"/>
  <cols>
    <col min="1" max="1" width="15.85546875" customWidth="1"/>
    <col min="4" max="4" width="13.5703125" customWidth="1"/>
    <col min="5" max="5" width="12.5703125" customWidth="1"/>
    <col min="6" max="6" width="13.5703125" customWidth="1"/>
  </cols>
  <sheetData>
    <row r="1" spans="1:51" ht="18.75" x14ac:dyDescent="0.3">
      <c r="A1" s="210" t="s">
        <v>14</v>
      </c>
      <c r="B1" s="210" t="s">
        <v>15</v>
      </c>
      <c r="C1" s="210" t="s">
        <v>8</v>
      </c>
      <c r="D1" s="210" t="s">
        <v>9</v>
      </c>
      <c r="E1" s="210" t="s">
        <v>234</v>
      </c>
      <c r="F1" s="210" t="s">
        <v>56</v>
      </c>
      <c r="G1" s="210" t="s">
        <v>57</v>
      </c>
      <c r="H1" s="210" t="s">
        <v>58</v>
      </c>
      <c r="I1" s="210" t="s">
        <v>77</v>
      </c>
      <c r="J1" s="210" t="s">
        <v>204</v>
      </c>
      <c r="K1" s="210" t="s">
        <v>16</v>
      </c>
      <c r="L1" s="210" t="s">
        <v>12</v>
      </c>
      <c r="M1" s="210" t="s">
        <v>44</v>
      </c>
      <c r="N1" s="210" t="s">
        <v>55</v>
      </c>
      <c r="O1" s="210" t="s">
        <v>17</v>
      </c>
      <c r="P1" s="210" t="s">
        <v>80</v>
      </c>
      <c r="Q1" s="210" t="s">
        <v>81</v>
      </c>
      <c r="R1" s="210" t="s">
        <v>82</v>
      </c>
      <c r="S1" s="210" t="s">
        <v>83</v>
      </c>
      <c r="T1" s="210" t="s">
        <v>45</v>
      </c>
      <c r="U1" s="210" t="s">
        <v>43</v>
      </c>
      <c r="V1" s="210" t="s">
        <v>13</v>
      </c>
      <c r="W1" s="210" t="s">
        <v>0</v>
      </c>
      <c r="X1" s="210" t="s">
        <v>11</v>
      </c>
      <c r="Y1" s="210" t="s">
        <v>10</v>
      </c>
      <c r="Z1" s="211" t="s">
        <v>14</v>
      </c>
      <c r="AA1" s="212" t="s">
        <v>15</v>
      </c>
      <c r="AB1" s="213" t="s">
        <v>8</v>
      </c>
      <c r="AC1" s="214" t="s">
        <v>9</v>
      </c>
      <c r="AD1" s="213" t="s">
        <v>234</v>
      </c>
      <c r="AE1" s="213" t="s">
        <v>56</v>
      </c>
      <c r="AF1" s="214" t="s">
        <v>57</v>
      </c>
      <c r="AG1" s="213" t="s">
        <v>58</v>
      </c>
      <c r="AH1" s="215" t="s">
        <v>77</v>
      </c>
      <c r="AI1" s="216" t="s">
        <v>204</v>
      </c>
      <c r="AJ1" s="216" t="s">
        <v>16</v>
      </c>
      <c r="AK1" s="210" t="s">
        <v>13</v>
      </c>
      <c r="AL1" s="215" t="s">
        <v>44</v>
      </c>
      <c r="AM1" s="216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12</v>
      </c>
      <c r="AV1" s="210" t="s">
        <v>0</v>
      </c>
      <c r="AW1" s="210" t="s">
        <v>11</v>
      </c>
      <c r="AX1" s="210" t="s">
        <v>10</v>
      </c>
      <c r="AY1" s="35"/>
    </row>
    <row r="2" spans="1:51" ht="18.75" x14ac:dyDescent="0.3">
      <c r="A2" s="36">
        <f>100-B2-C2-D2-E2-F2-G2-H2-I2-J2-K2-L2-M2-N2-O2-P2-Q2-R2-S2-T2-U2-V2-W2-X2-Y2</f>
        <v>94.328499999999991</v>
      </c>
      <c r="B2" s="37">
        <f>'OK OK'!C4</f>
        <v>0.89</v>
      </c>
      <c r="C2" s="37">
        <f>'OK OK'!D4</f>
        <v>1.43</v>
      </c>
      <c r="D2" s="37">
        <f>'OK OK'!E4</f>
        <v>0</v>
      </c>
      <c r="E2" s="37">
        <f>'OK OK'!F4</f>
        <v>0</v>
      </c>
      <c r="F2" s="37">
        <f>'OK OK'!G4</f>
        <v>0.2</v>
      </c>
      <c r="G2" s="37">
        <f>'OK OK'!H4</f>
        <v>5.0000000000000001E-3</v>
      </c>
      <c r="H2" s="37">
        <f>'OK OK'!I4</f>
        <v>1E-3</v>
      </c>
      <c r="I2" s="37">
        <f>'OK OK'!J4</f>
        <v>1E-3</v>
      </c>
      <c r="J2" s="37">
        <f>'OK OK'!K4</f>
        <v>1.5E-3</v>
      </c>
      <c r="K2" s="37">
        <f>'OK OK'!L4</f>
        <v>1.6</v>
      </c>
      <c r="L2" s="37">
        <f>'OK OK'!M4</f>
        <v>1E-3</v>
      </c>
      <c r="M2" s="37">
        <f>'OK OK'!N4</f>
        <v>1.3</v>
      </c>
      <c r="N2" s="37">
        <f>'OK OK'!O4</f>
        <v>0.19</v>
      </c>
      <c r="O2" s="37">
        <f>'OK OK'!P4</f>
        <v>0</v>
      </c>
      <c r="P2" s="37">
        <f>'OK OK'!Q4</f>
        <v>5.1999999999999998E-2</v>
      </c>
      <c r="Q2" s="37">
        <f>'OK OK'!R4</f>
        <v>0</v>
      </c>
      <c r="R2" s="37">
        <f>'OK OK'!S4</f>
        <v>0</v>
      </c>
      <c r="S2" s="37">
        <f>'OK OK'!T4</f>
        <v>0</v>
      </c>
      <c r="T2" s="37">
        <f>'OK OK'!U4</f>
        <v>0</v>
      </c>
      <c r="U2" s="37">
        <f>'OK OK'!V4</f>
        <v>0</v>
      </c>
      <c r="V2" s="37">
        <f>'OK OK'!W4</f>
        <v>0</v>
      </c>
      <c r="W2" s="37">
        <f>'OK OK'!X4</f>
        <v>0</v>
      </c>
      <c r="X2" s="37">
        <f>'OK OK'!Y4</f>
        <v>0</v>
      </c>
      <c r="Y2" s="37">
        <f>'OK OK'!Z4</f>
        <v>0</v>
      </c>
      <c r="Z2" s="219">
        <v>55.84</v>
      </c>
      <c r="AA2" s="219">
        <v>28.0855</v>
      </c>
      <c r="AB2" s="219">
        <v>58.693399999999997</v>
      </c>
      <c r="AC2" s="219">
        <v>63.545999999999999</v>
      </c>
      <c r="AD2" s="219">
        <v>65.38</v>
      </c>
      <c r="AE2" s="219">
        <v>12.01</v>
      </c>
      <c r="AF2" s="219">
        <v>30.973762000000001</v>
      </c>
      <c r="AG2" s="219">
        <v>32.064999999999998</v>
      </c>
      <c r="AH2" s="219">
        <v>14.0067</v>
      </c>
      <c r="AI2" s="219">
        <v>10.81</v>
      </c>
      <c r="AJ2" s="219">
        <v>54.938043999999998</v>
      </c>
      <c r="AK2" s="219">
        <v>24.305</v>
      </c>
      <c r="AL2" s="219">
        <v>51.996099999999998</v>
      </c>
      <c r="AM2" s="219">
        <v>95.95</v>
      </c>
      <c r="AN2" s="220">
        <v>47.866999999999997</v>
      </c>
      <c r="AO2" s="220">
        <v>50.941499999999998</v>
      </c>
      <c r="AP2" s="220">
        <v>92.906369999999995</v>
      </c>
      <c r="AQ2" s="220">
        <v>183.84</v>
      </c>
      <c r="AR2" s="220">
        <v>180.94788</v>
      </c>
      <c r="AS2" s="220">
        <v>91.224000000000004</v>
      </c>
      <c r="AT2" s="220">
        <v>58.933194999999998</v>
      </c>
      <c r="AU2" s="220">
        <v>26.981539999999999</v>
      </c>
      <c r="AV2" s="219">
        <v>121.76</v>
      </c>
      <c r="AW2" s="219">
        <v>207.2</v>
      </c>
      <c r="AX2" s="219">
        <v>118.71</v>
      </c>
      <c r="AY2" s="7"/>
    </row>
    <row r="3" spans="1:51" ht="18.75" x14ac:dyDescent="0.3">
      <c r="A3" s="36">
        <f>100*((((A2)/(Z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92.840162287943627</v>
      </c>
      <c r="B3" s="36">
        <f>100*((((B2)/(AA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1.741591189035695</v>
      </c>
      <c r="C3" s="36">
        <f>100*((((C2)/(AB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1.3390140731654472</v>
      </c>
      <c r="D3" s="36">
        <f>100*((((D2)/(AC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E3" s="36">
        <f>100*((((E2)/(AD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F3" s="36">
        <f>100*((((F2)/(AE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0.91521970155323784</v>
      </c>
      <c r="G3" s="36">
        <f>100*((((G2)/(AF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8.8718546811123438E-3</v>
      </c>
      <c r="H3" s="36">
        <f>100*((((H2)/(AG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1.7139854382745025E-3</v>
      </c>
      <c r="I3" s="36">
        <f>100*((((I2)/(AH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3.9237609914021089E-3</v>
      </c>
      <c r="J3" s="36">
        <f>100*((((J2)/(AI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7.6261253115085933E-3</v>
      </c>
      <c r="K3" s="36">
        <f>100*((((K2)/(AJ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1.6006086588236572</v>
      </c>
      <c r="L3" s="36">
        <f>100*((((L2)/(AK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2.2612196288118464E-3</v>
      </c>
      <c r="M3" s="36">
        <f>100*((((M2)/(AL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1.3740766327042508</v>
      </c>
      <c r="N3" s="36">
        <f>100*((((N2)/(AM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0.10882959025400381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P3" s="36">
        <f>100*((((P2)/(AO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5.6100920468972061E-2</v>
      </c>
      <c r="Q3" s="36">
        <f>100*((((Q2)/(AP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R3" s="36">
        <f>100*((((R2)/(AQ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S3" s="36">
        <f>100*((((S2)/(AR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T3" s="36">
        <f>100*((((T2)/(AS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U3" s="36">
        <f>100*((((U2)/(AT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V3" s="36">
        <f>100*((((V2)/(AU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W3" s="7">
        <f>100*((((W2)/(AV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X3" s="7">
        <f>100*((((X2)/(AW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Y3" s="7">
        <f>100*((((Y2)/(AX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51" ht="15.75" x14ac:dyDescent="0.25">
      <c r="A4" s="8" t="s">
        <v>18</v>
      </c>
      <c r="B4" s="9">
        <v>111</v>
      </c>
    </row>
    <row r="5" spans="1:51" ht="15.75" x14ac:dyDescent="0.25">
      <c r="A5" s="8" t="s">
        <v>19</v>
      </c>
      <c r="B5" s="9" t="s">
        <v>79</v>
      </c>
      <c r="C5" s="10"/>
    </row>
    <row r="6" spans="1:51" ht="15.75" x14ac:dyDescent="0.25">
      <c r="A6" s="8" t="s">
        <v>20</v>
      </c>
      <c r="B6" s="9">
        <f>'OK OK'!B13</f>
        <v>1000</v>
      </c>
      <c r="D6" s="8" t="s">
        <v>21</v>
      </c>
      <c r="E6" s="11" t="e">
        <f>IF(J33&gt;1,J33,"")</f>
        <v>#DIV/0!</v>
      </c>
      <c r="F6" s="12" t="s">
        <v>22</v>
      </c>
      <c r="G6" t="e">
        <f>E6/B6</f>
        <v>#DIV/0!</v>
      </c>
    </row>
    <row r="7" spans="1:51" ht="15.75" x14ac:dyDescent="0.25">
      <c r="A7" s="3"/>
      <c r="B7" t="s">
        <v>50</v>
      </c>
      <c r="C7" t="s">
        <v>51</v>
      </c>
    </row>
    <row r="8" spans="1:51" ht="18.75" x14ac:dyDescent="0.3">
      <c r="A8" s="3"/>
      <c r="B8" s="13" t="s">
        <v>23</v>
      </c>
      <c r="C8" s="13" t="s">
        <v>24</v>
      </c>
      <c r="D8" s="13" t="s">
        <v>25</v>
      </c>
      <c r="E8" s="19" t="s">
        <v>38</v>
      </c>
      <c r="F8" s="13" t="s">
        <v>25</v>
      </c>
      <c r="G8" s="10"/>
      <c r="H8" s="14" t="s">
        <v>26</v>
      </c>
      <c r="I8" s="14" t="s">
        <v>27</v>
      </c>
      <c r="J8" s="14" t="s">
        <v>28</v>
      </c>
      <c r="K8" s="14" t="s">
        <v>29</v>
      </c>
      <c r="Z8" s="57"/>
      <c r="AA8" s="58"/>
      <c r="AB8" s="59"/>
      <c r="AC8" s="60"/>
      <c r="AD8" s="59"/>
      <c r="AE8" s="59"/>
      <c r="AF8" s="60"/>
      <c r="AG8" s="59"/>
      <c r="AH8" s="61"/>
      <c r="AI8" s="62"/>
      <c r="AJ8" s="62"/>
      <c r="AK8" s="63"/>
      <c r="AL8" s="63"/>
      <c r="AM8" s="62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</row>
    <row r="9" spans="1:51" ht="18.75" x14ac:dyDescent="0.3">
      <c r="A9" s="66" t="s">
        <v>14</v>
      </c>
      <c r="B9" s="15">
        <f>TEOR.EQ_A_G_6!A3</f>
        <v>100</v>
      </c>
      <c r="C9" s="15">
        <f>TIG.EQ_At_G_1!A3</f>
        <v>94.332432355284283</v>
      </c>
      <c r="D9" s="134" t="e">
        <f>IF(K9&gt;0,K9,"")</f>
        <v>#DIV/0!</v>
      </c>
      <c r="E9" s="13" t="s">
        <v>56</v>
      </c>
      <c r="F9" s="20" t="e">
        <f t="shared" ref="F9:F12" si="0">D9</f>
        <v>#DIV/0!</v>
      </c>
      <c r="G9" s="90"/>
      <c r="H9" s="91" t="e">
        <f t="shared" ref="H9:H32" si="1">IF(B9&gt;0,$J$33*B9/100,"")</f>
        <v>#DIV/0!</v>
      </c>
      <c r="I9" s="91">
        <f>IF(C9&gt;0,$B$6*C9/100,"")</f>
        <v>943.32432355284288</v>
      </c>
      <c r="J9" s="91">
        <f>IF(B9&gt;0,I9/B9*100,"")</f>
        <v>943.324323552843</v>
      </c>
      <c r="K9" s="91" t="e">
        <f t="shared" ref="K9:K31" si="2">IF(H9&gt;H41,(H9-I9),"")</f>
        <v>#DIV/0!</v>
      </c>
      <c r="M9">
        <v>1</v>
      </c>
      <c r="O9" s="91" t="e">
        <f>D9</f>
        <v>#DIV/0!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V9" s="7"/>
      <c r="AW9" s="7"/>
      <c r="AX9" s="7"/>
    </row>
    <row r="10" spans="1:51" ht="18" x14ac:dyDescent="0.25">
      <c r="A10" s="66" t="s">
        <v>15</v>
      </c>
      <c r="B10" s="15">
        <f>TEOR.EQ_A_G_6!B3</f>
        <v>0</v>
      </c>
      <c r="C10" s="15">
        <f>TIG.EQ_At_G_1!B3</f>
        <v>0.89003710221410315</v>
      </c>
      <c r="D10" s="134" t="str">
        <f>IF(K10&gt;0,K10,"")</f>
        <v/>
      </c>
      <c r="E10" s="13" t="s">
        <v>16</v>
      </c>
      <c r="F10" s="20" t="e">
        <f>D10*5</f>
        <v>#VALUE!</v>
      </c>
      <c r="G10" s="90"/>
      <c r="H10" s="91" t="str">
        <f t="shared" si="1"/>
        <v/>
      </c>
      <c r="I10" s="91">
        <f t="shared" ref="I10:I16" si="3">IF(C10&gt;0,$B$6*C10/100,"")</f>
        <v>8.9003710221410319</v>
      </c>
      <c r="J10" s="91" t="str">
        <f>IF(B10&gt;0,I10/B10*100,"")</f>
        <v/>
      </c>
      <c r="K10" s="91" t="str">
        <f t="shared" si="2"/>
        <v/>
      </c>
      <c r="M10">
        <v>2</v>
      </c>
      <c r="O10" s="91" t="str">
        <f>D10</f>
        <v/>
      </c>
    </row>
    <row r="11" spans="1:51" ht="18" x14ac:dyDescent="0.25">
      <c r="A11" s="66" t="s">
        <v>8</v>
      </c>
      <c r="B11" s="15">
        <f>TEOR.EQ_A_G_6!C3</f>
        <v>0</v>
      </c>
      <c r="C11" s="15">
        <f>TIG.EQ_At_G_1!C3</f>
        <v>1.4300596136698511</v>
      </c>
      <c r="D11" s="134" t="str">
        <f t="shared" ref="D11:D32" si="4">IF(K11&gt;0,K11,"")</f>
        <v/>
      </c>
      <c r="E11" s="13" t="s">
        <v>13</v>
      </c>
      <c r="F11" s="20" t="str">
        <f t="shared" si="0"/>
        <v/>
      </c>
      <c r="G11" s="90"/>
      <c r="H11" s="91" t="str">
        <f t="shared" si="1"/>
        <v/>
      </c>
      <c r="I11" s="91">
        <f t="shared" si="3"/>
        <v>14.300596136698511</v>
      </c>
      <c r="J11" s="91" t="str">
        <f>IF(B11&gt;0,I11/B11*100,"")</f>
        <v/>
      </c>
      <c r="K11" s="91" t="str">
        <f t="shared" si="2"/>
        <v/>
      </c>
      <c r="M11">
        <v>3</v>
      </c>
      <c r="O11" s="91" t="str">
        <f>D11</f>
        <v/>
      </c>
    </row>
    <row r="12" spans="1:51" ht="18" x14ac:dyDescent="0.25">
      <c r="A12" s="66" t="s">
        <v>9</v>
      </c>
      <c r="B12" s="15">
        <f>TEOR.EQ_A_G_6!D3</f>
        <v>0</v>
      </c>
      <c r="C12" s="15">
        <f>TIG.EQ_At_G_1!D3</f>
        <v>0</v>
      </c>
      <c r="D12" s="134" t="str">
        <f t="shared" si="4"/>
        <v/>
      </c>
      <c r="E12" s="13" t="s">
        <v>15</v>
      </c>
      <c r="F12" s="20" t="str">
        <f t="shared" si="0"/>
        <v/>
      </c>
      <c r="G12" s="90"/>
      <c r="H12" s="91" t="str">
        <f t="shared" si="1"/>
        <v/>
      </c>
      <c r="I12" s="91" t="str">
        <f>IF(C12&gt;0,$B$6*C12/100,"")</f>
        <v/>
      </c>
      <c r="J12" s="91" t="str">
        <f>IF(B12&gt;0,I12/B12*100,"")</f>
        <v/>
      </c>
      <c r="K12" s="91" t="str">
        <f t="shared" si="2"/>
        <v/>
      </c>
      <c r="M12">
        <v>4</v>
      </c>
      <c r="O12" s="91"/>
    </row>
    <row r="13" spans="1:51" ht="18" x14ac:dyDescent="0.25">
      <c r="A13" s="66" t="s">
        <v>234</v>
      </c>
      <c r="B13" s="15">
        <f>TEOR.EQ_A_G_6!E3</f>
        <v>0</v>
      </c>
      <c r="C13" s="15">
        <f>TIG.EQ_At_G_1!E3</f>
        <v>0</v>
      </c>
      <c r="D13" s="134" t="str">
        <f t="shared" si="4"/>
        <v/>
      </c>
      <c r="E13" s="13" t="s">
        <v>17</v>
      </c>
      <c r="F13" s="20" t="e">
        <f>D13*10</f>
        <v>#VALUE!</v>
      </c>
      <c r="G13" s="90"/>
      <c r="H13" s="91" t="str">
        <f t="shared" si="1"/>
        <v/>
      </c>
      <c r="I13" s="91" t="str">
        <f t="shared" si="3"/>
        <v/>
      </c>
      <c r="J13" s="91" t="str">
        <f>IF(B13&gt;0,I13/B13*100,"")</f>
        <v/>
      </c>
      <c r="K13" s="91" t="str">
        <f t="shared" si="2"/>
        <v/>
      </c>
      <c r="M13">
        <v>5</v>
      </c>
      <c r="O13" s="91" t="str">
        <f>D13</f>
        <v/>
      </c>
    </row>
    <row r="14" spans="1:51" ht="18" x14ac:dyDescent="0.25">
      <c r="A14" s="66" t="s">
        <v>56</v>
      </c>
      <c r="B14" s="15">
        <f>TEOR.EQ_A_G_6!F3</f>
        <v>0</v>
      </c>
      <c r="C14" s="15">
        <f>TIG.EQ_At_G_1!F3</f>
        <v>0.20533994550961771</v>
      </c>
      <c r="D14" s="134" t="str">
        <f t="shared" si="4"/>
        <v/>
      </c>
      <c r="E14" s="13" t="s">
        <v>45</v>
      </c>
      <c r="F14" s="20" t="e">
        <f>D14*10</f>
        <v>#VALUE!</v>
      </c>
      <c r="G14" s="90"/>
      <c r="H14" s="91" t="str">
        <f t="shared" si="1"/>
        <v/>
      </c>
      <c r="I14" s="91">
        <f t="shared" si="3"/>
        <v>2.0533994550961769</v>
      </c>
      <c r="J14" s="91" t="e">
        <f>IF(C14&gt;0.14,I14/B14*100,"")</f>
        <v>#DIV/0!</v>
      </c>
      <c r="K14" s="91" t="str">
        <f t="shared" si="2"/>
        <v/>
      </c>
      <c r="M14">
        <v>6</v>
      </c>
      <c r="O14" s="91" t="str">
        <f>D14</f>
        <v/>
      </c>
    </row>
    <row r="15" spans="1:51" ht="18" x14ac:dyDescent="0.25">
      <c r="A15" s="66" t="s">
        <v>57</v>
      </c>
      <c r="B15" s="15">
        <f>TEOR.EQ_A_G_6!G3</f>
        <v>0</v>
      </c>
      <c r="C15" s="15">
        <f>TIG.EQ_At_G_1!G3</f>
        <v>0</v>
      </c>
      <c r="D15" s="134" t="str">
        <f>IF(K15&gt;0,K15,"")</f>
        <v/>
      </c>
      <c r="E15" s="13" t="s">
        <v>14</v>
      </c>
      <c r="F15" s="20" t="e">
        <f>(F13-D13)+(F10-D10)+(F14-D14)</f>
        <v>#VALUE!</v>
      </c>
      <c r="G15" s="90"/>
      <c r="H15" s="91" t="str">
        <f t="shared" si="1"/>
        <v/>
      </c>
      <c r="I15" s="91" t="str">
        <f>IF(C15&gt;0,$B$6*C15/100,"")</f>
        <v/>
      </c>
      <c r="J15" s="91" t="str">
        <f>IF(B15&gt;0,I15/B15*100,"")</f>
        <v/>
      </c>
      <c r="K15" s="91" t="str">
        <f t="shared" si="2"/>
        <v/>
      </c>
      <c r="M15">
        <v>7</v>
      </c>
      <c r="O15" s="91"/>
    </row>
    <row r="16" spans="1:51" ht="18" x14ac:dyDescent="0.25">
      <c r="A16" s="66" t="s">
        <v>58</v>
      </c>
      <c r="B16" s="15">
        <f>TEOR.EQ_A_G_6!H3</f>
        <v>0</v>
      </c>
      <c r="C16" s="15">
        <f>TIG.EQ_At_G_1!H3</f>
        <v>0</v>
      </c>
      <c r="D16" s="134" t="str">
        <f t="shared" si="4"/>
        <v/>
      </c>
      <c r="E16" s="13"/>
      <c r="F16" s="21" t="e">
        <f>D16*10</f>
        <v>#VALUE!</v>
      </c>
      <c r="G16" s="90"/>
      <c r="H16" s="91" t="str">
        <f t="shared" si="1"/>
        <v/>
      </c>
      <c r="I16" s="91" t="str">
        <f t="shared" si="3"/>
        <v/>
      </c>
      <c r="J16" s="91" t="str">
        <f>IF(B16&gt;0,I16/B16*100,"")</f>
        <v/>
      </c>
      <c r="K16" s="91" t="str">
        <f t="shared" si="2"/>
        <v/>
      </c>
      <c r="M16">
        <v>8</v>
      </c>
      <c r="O16" s="91"/>
    </row>
    <row r="17" spans="1:15" ht="18" x14ac:dyDescent="0.25">
      <c r="A17" s="66" t="s">
        <v>77</v>
      </c>
      <c r="B17" s="15">
        <f>TEOR.EQ_A_G_6!I3</f>
        <v>0</v>
      </c>
      <c r="C17" s="15">
        <f>TIG.EQ_At_G_1!I3</f>
        <v>0</v>
      </c>
      <c r="D17" s="134" t="str">
        <f t="shared" si="4"/>
        <v/>
      </c>
      <c r="E17" s="13"/>
      <c r="F17" s="17" t="str">
        <f>D17</f>
        <v/>
      </c>
      <c r="G17" s="90"/>
      <c r="H17" s="91" t="str">
        <f t="shared" si="1"/>
        <v/>
      </c>
      <c r="I17" s="91" t="str">
        <f>IF(C17&gt;0,$B$6*C17/100,"")</f>
        <v/>
      </c>
      <c r="J17" s="91" t="str">
        <f>IF(B17&gt;0,I17/B17*100,"")</f>
        <v/>
      </c>
      <c r="K17" s="91" t="str">
        <f t="shared" si="2"/>
        <v/>
      </c>
      <c r="M17">
        <v>9</v>
      </c>
      <c r="O17" s="91" t="str">
        <f>D17</f>
        <v/>
      </c>
    </row>
    <row r="18" spans="1:15" ht="18" x14ac:dyDescent="0.25">
      <c r="A18" s="66" t="s">
        <v>204</v>
      </c>
      <c r="B18" s="15">
        <f>TEOR.EQ_A_G_6!J3</f>
        <v>0</v>
      </c>
      <c r="C18" s="15">
        <f>TIG.EQ_At_G_1!J3</f>
        <v>0</v>
      </c>
      <c r="D18" s="135" t="str">
        <f t="shared" si="4"/>
        <v/>
      </c>
      <c r="H18" s="91" t="str">
        <f t="shared" si="1"/>
        <v/>
      </c>
      <c r="I18" s="91" t="str">
        <f t="shared" ref="I18:I32" si="5">IF(C18&gt;0,$B$6*C18/100,"")</f>
        <v/>
      </c>
      <c r="J18" s="91" t="str">
        <f t="shared" ref="J18:J32" si="6">IF(B18&gt;0,I18/B18*100,"")</f>
        <v/>
      </c>
      <c r="K18" s="91" t="str">
        <f>IF(H18&gt;H50,(H18-I18),"")</f>
        <v/>
      </c>
      <c r="M18">
        <v>10</v>
      </c>
      <c r="O18" s="91" t="str">
        <f>D18</f>
        <v/>
      </c>
    </row>
    <row r="19" spans="1:15" ht="18" x14ac:dyDescent="0.25">
      <c r="A19" s="66" t="s">
        <v>16</v>
      </c>
      <c r="B19" s="15">
        <f>TEOR.EQ_A_G_6!K3</f>
        <v>0</v>
      </c>
      <c r="C19" s="15">
        <f>TIG.EQ_At_G_1!K3</f>
        <v>1.6000667006096232</v>
      </c>
      <c r="D19" t="str">
        <f t="shared" si="4"/>
        <v/>
      </c>
      <c r="H19" s="91" t="str">
        <f t="shared" si="1"/>
        <v/>
      </c>
      <c r="I19" s="91">
        <f t="shared" si="5"/>
        <v>16.000667006096233</v>
      </c>
      <c r="J19" s="91" t="str">
        <f t="shared" si="6"/>
        <v/>
      </c>
      <c r="K19" s="91" t="str">
        <f t="shared" si="2"/>
        <v/>
      </c>
      <c r="M19">
        <v>11</v>
      </c>
      <c r="O19" t="str">
        <f>D19</f>
        <v/>
      </c>
    </row>
    <row r="20" spans="1:15" ht="18" x14ac:dyDescent="0.25">
      <c r="A20" s="66" t="s">
        <v>12</v>
      </c>
      <c r="B20" s="15">
        <f>TEOR.EQ_A_G_6!L3</f>
        <v>0</v>
      </c>
      <c r="C20" s="15">
        <f>TIG.EQ_At_G_1!L3</f>
        <v>0</v>
      </c>
      <c r="D20" t="str">
        <f t="shared" si="4"/>
        <v/>
      </c>
      <c r="H20" s="91" t="str">
        <f t="shared" si="1"/>
        <v/>
      </c>
      <c r="I20" s="91" t="str">
        <f t="shared" si="5"/>
        <v/>
      </c>
      <c r="J20" s="91" t="str">
        <f t="shared" si="6"/>
        <v/>
      </c>
      <c r="K20" s="91" t="str">
        <f t="shared" si="2"/>
        <v/>
      </c>
      <c r="M20">
        <v>12</v>
      </c>
      <c r="O20" t="str">
        <f>D20</f>
        <v/>
      </c>
    </row>
    <row r="21" spans="1:15" ht="18" x14ac:dyDescent="0.25">
      <c r="A21" s="66" t="s">
        <v>44</v>
      </c>
      <c r="B21" s="15">
        <f>TEOR.EQ_A_G_6!M3</f>
        <v>0</v>
      </c>
      <c r="C21" s="15">
        <f>TIG.EQ_At_G_1!M3</f>
        <v>1.3000541942453192</v>
      </c>
      <c r="D21" t="str">
        <f t="shared" si="4"/>
        <v/>
      </c>
      <c r="H21" s="91" t="str">
        <f t="shared" si="1"/>
        <v/>
      </c>
      <c r="I21" s="91">
        <f t="shared" si="5"/>
        <v>13.000541942453191</v>
      </c>
      <c r="J21" s="91" t="str">
        <f t="shared" si="6"/>
        <v/>
      </c>
      <c r="K21" s="91" t="str">
        <f t="shared" si="2"/>
        <v/>
      </c>
      <c r="M21">
        <v>13</v>
      </c>
      <c r="O21" s="91" t="str">
        <f>D21</f>
        <v/>
      </c>
    </row>
    <row r="22" spans="1:15" ht="18" x14ac:dyDescent="0.25">
      <c r="A22" s="66" t="s">
        <v>55</v>
      </c>
      <c r="B22" s="15">
        <f>TEOR.EQ_A_G_6!N3</f>
        <v>0</v>
      </c>
      <c r="C22" s="15">
        <f>TIG.EQ_At_G_1!N3</f>
        <v>0.19000792069739278</v>
      </c>
      <c r="D22" t="str">
        <f t="shared" si="4"/>
        <v/>
      </c>
      <c r="H22" s="91" t="str">
        <f t="shared" si="1"/>
        <v/>
      </c>
      <c r="I22" s="91">
        <f t="shared" si="5"/>
        <v>1.9000792069739278</v>
      </c>
      <c r="J22" s="91" t="str">
        <f t="shared" si="6"/>
        <v/>
      </c>
      <c r="K22" s="91" t="str">
        <f t="shared" si="2"/>
        <v/>
      </c>
      <c r="M22">
        <v>14</v>
      </c>
    </row>
    <row r="23" spans="1:15" ht="18" x14ac:dyDescent="0.25">
      <c r="A23" s="66" t="s">
        <v>17</v>
      </c>
      <c r="B23" s="15">
        <f>TEOR.EQ_A_G_6!O3</f>
        <v>0</v>
      </c>
      <c r="C23" s="15">
        <f>TIG.EQ_At_G_1!O3</f>
        <v>0</v>
      </c>
      <c r="D23" t="str">
        <f t="shared" si="4"/>
        <v/>
      </c>
      <c r="H23" s="91" t="str">
        <f t="shared" si="1"/>
        <v/>
      </c>
      <c r="I23" s="91" t="str">
        <f t="shared" si="5"/>
        <v/>
      </c>
      <c r="J23" s="91" t="str">
        <f t="shared" si="6"/>
        <v/>
      </c>
      <c r="K23" s="91" t="str">
        <f>IF(H23&gt;H65,(H23-I23),"")</f>
        <v/>
      </c>
      <c r="M23">
        <v>15</v>
      </c>
    </row>
    <row r="24" spans="1:15" ht="18" x14ac:dyDescent="0.25">
      <c r="A24" s="66" t="s">
        <v>80</v>
      </c>
      <c r="B24" s="15">
        <f>TEOR.EQ_A_G_6!P3</f>
        <v>0</v>
      </c>
      <c r="C24" s="15">
        <f>TIG.EQ_At_G_1!P3</f>
        <v>5.2002167769812764E-2</v>
      </c>
      <c r="D24" t="str">
        <f t="shared" si="4"/>
        <v/>
      </c>
      <c r="E24" t="s">
        <v>90</v>
      </c>
      <c r="F24" s="3"/>
      <c r="G24" s="3"/>
      <c r="H24" s="91" t="str">
        <f t="shared" si="1"/>
        <v/>
      </c>
      <c r="I24" s="91">
        <f t="shared" si="5"/>
        <v>0.52002167769812768</v>
      </c>
      <c r="J24" s="91" t="str">
        <f t="shared" si="6"/>
        <v/>
      </c>
      <c r="K24" s="91" t="str">
        <f>IF(H24&gt;H66,(H24-I24),"")</f>
        <v/>
      </c>
      <c r="L24" s="3"/>
      <c r="M24">
        <v>16</v>
      </c>
    </row>
    <row r="25" spans="1:15" ht="18" x14ac:dyDescent="0.25">
      <c r="A25" s="66" t="s">
        <v>81</v>
      </c>
      <c r="B25" s="15">
        <f>TEOR.EQ_A_G_6!Q3</f>
        <v>0</v>
      </c>
      <c r="C25" s="15">
        <f>TIG.EQ_At_G_1!Q3</f>
        <v>0</v>
      </c>
      <c r="D25" t="str">
        <f t="shared" si="4"/>
        <v/>
      </c>
      <c r="F25" s="69"/>
      <c r="G25" s="69"/>
      <c r="H25" s="91" t="str">
        <f t="shared" si="1"/>
        <v/>
      </c>
      <c r="I25" s="91" t="str">
        <f t="shared" si="5"/>
        <v/>
      </c>
      <c r="J25" s="91" t="str">
        <f t="shared" si="6"/>
        <v/>
      </c>
      <c r="K25" s="91" t="str">
        <f t="shared" si="2"/>
        <v/>
      </c>
      <c r="L25" s="69"/>
      <c r="M25">
        <v>17</v>
      </c>
    </row>
    <row r="26" spans="1:15" ht="18" x14ac:dyDescent="0.25">
      <c r="A26" s="66" t="s">
        <v>82</v>
      </c>
      <c r="B26" s="15">
        <f>TEOR.EQ_A_G_6!R3</f>
        <v>0</v>
      </c>
      <c r="C26" s="15">
        <f>TIG.EQ_At_G_1!R3</f>
        <v>0</v>
      </c>
      <c r="D26" t="str">
        <f t="shared" si="4"/>
        <v/>
      </c>
      <c r="E26" t="s">
        <v>91</v>
      </c>
      <c r="F26" s="4"/>
      <c r="G26" s="4"/>
      <c r="H26" s="91" t="str">
        <f t="shared" si="1"/>
        <v/>
      </c>
      <c r="I26" s="91" t="str">
        <f t="shared" si="5"/>
        <v/>
      </c>
      <c r="J26" s="91" t="str">
        <f t="shared" si="6"/>
        <v/>
      </c>
      <c r="K26" s="91" t="str">
        <f t="shared" si="2"/>
        <v/>
      </c>
      <c r="L26" s="4"/>
      <c r="M26">
        <v>18</v>
      </c>
    </row>
    <row r="27" spans="1:15" ht="18" x14ac:dyDescent="0.25">
      <c r="A27" s="66" t="s">
        <v>83</v>
      </c>
      <c r="B27" s="15">
        <f>TEOR.EQ_A_G_6!S3</f>
        <v>0</v>
      </c>
      <c r="C27" s="15">
        <f>TIG.EQ_At_G_1!S3</f>
        <v>0</v>
      </c>
      <c r="D27" t="str">
        <f t="shared" si="4"/>
        <v/>
      </c>
      <c r="H27" s="91" t="str">
        <f t="shared" si="1"/>
        <v/>
      </c>
      <c r="I27" s="91" t="str">
        <f t="shared" si="5"/>
        <v/>
      </c>
      <c r="J27" s="91" t="str">
        <f t="shared" si="6"/>
        <v/>
      </c>
      <c r="K27" s="91" t="str">
        <f t="shared" si="2"/>
        <v/>
      </c>
      <c r="M27">
        <v>19</v>
      </c>
    </row>
    <row r="28" spans="1:15" ht="18" x14ac:dyDescent="0.25">
      <c r="A28" s="66" t="s">
        <v>45</v>
      </c>
      <c r="B28" s="15">
        <f>TEOR.EQ_A_G_6!T3</f>
        <v>0</v>
      </c>
      <c r="C28" s="15">
        <f>TIG.EQ_At_G_1!T3</f>
        <v>0</v>
      </c>
      <c r="D28" t="str">
        <f t="shared" si="4"/>
        <v/>
      </c>
      <c r="H28" s="91" t="str">
        <f t="shared" si="1"/>
        <v/>
      </c>
      <c r="I28" s="91" t="str">
        <f t="shared" si="5"/>
        <v/>
      </c>
      <c r="J28" s="91" t="str">
        <f t="shared" si="6"/>
        <v/>
      </c>
      <c r="K28" s="91" t="str">
        <f t="shared" si="2"/>
        <v/>
      </c>
      <c r="M28">
        <v>20</v>
      </c>
    </row>
    <row r="29" spans="1:15" ht="18" x14ac:dyDescent="0.25">
      <c r="A29" s="66" t="s">
        <v>43</v>
      </c>
      <c r="B29" s="15">
        <f>TEOR.EQ_A_G_6!U3</f>
        <v>0</v>
      </c>
      <c r="C29" s="15">
        <f>TIG.EQ_At_G_1!U3</f>
        <v>0</v>
      </c>
      <c r="D29" t="str">
        <f t="shared" si="4"/>
        <v/>
      </c>
      <c r="H29" s="91" t="str">
        <f t="shared" si="1"/>
        <v/>
      </c>
      <c r="I29" s="91" t="str">
        <f t="shared" si="5"/>
        <v/>
      </c>
      <c r="J29" s="91" t="str">
        <f t="shared" si="6"/>
        <v/>
      </c>
      <c r="K29" s="91" t="str">
        <f t="shared" si="2"/>
        <v/>
      </c>
      <c r="M29">
        <v>21</v>
      </c>
    </row>
    <row r="30" spans="1:15" ht="18" x14ac:dyDescent="0.25">
      <c r="A30" s="66" t="s">
        <v>13</v>
      </c>
      <c r="B30" s="15">
        <f>TEOR.EQ_A_G_6!V3</f>
        <v>0</v>
      </c>
      <c r="C30" s="15">
        <f>TIG.EQ_At_G_1!V3</f>
        <v>0</v>
      </c>
      <c r="D30" t="str">
        <f t="shared" si="4"/>
        <v/>
      </c>
      <c r="H30" s="91" t="str">
        <f t="shared" si="1"/>
        <v/>
      </c>
      <c r="I30" s="91" t="str">
        <f t="shared" si="5"/>
        <v/>
      </c>
      <c r="J30" s="91" t="str">
        <f t="shared" si="6"/>
        <v/>
      </c>
      <c r="K30" s="91" t="str">
        <f t="shared" si="2"/>
        <v/>
      </c>
      <c r="M30">
        <v>22</v>
      </c>
    </row>
    <row r="31" spans="1:15" ht="18" x14ac:dyDescent="0.25">
      <c r="A31" s="66" t="s">
        <v>0</v>
      </c>
      <c r="B31" s="15">
        <f>TEOR.EQ_A_G_6!W3</f>
        <v>0</v>
      </c>
      <c r="C31" s="15">
        <f>TIG.EQ_At_G_1!W3</f>
        <v>0</v>
      </c>
      <c r="D31" t="str">
        <f t="shared" si="4"/>
        <v/>
      </c>
      <c r="H31" s="91" t="str">
        <f t="shared" si="1"/>
        <v/>
      </c>
      <c r="I31" s="91" t="str">
        <f t="shared" si="5"/>
        <v/>
      </c>
      <c r="J31" s="91" t="str">
        <f t="shared" si="6"/>
        <v/>
      </c>
      <c r="K31" s="91" t="str">
        <f t="shared" si="2"/>
        <v/>
      </c>
      <c r="M31">
        <v>23</v>
      </c>
    </row>
    <row r="32" spans="1:15" ht="18" x14ac:dyDescent="0.25">
      <c r="A32" s="66" t="s">
        <v>11</v>
      </c>
      <c r="B32" s="15">
        <f>TEOR.EQ_A_G_6!X3</f>
        <v>0</v>
      </c>
      <c r="C32" s="15">
        <f>TIG.EQ_At_G_1!X3</f>
        <v>0</v>
      </c>
      <c r="D32" t="str">
        <f t="shared" si="4"/>
        <v/>
      </c>
      <c r="H32" s="91" t="str">
        <f t="shared" si="1"/>
        <v/>
      </c>
      <c r="I32" s="91" t="str">
        <f t="shared" si="5"/>
        <v/>
      </c>
      <c r="J32" s="91" t="str">
        <f t="shared" si="6"/>
        <v/>
      </c>
      <c r="K32" s="91" t="str">
        <f>IF(H32&gt;H64,(H32-I32),"")</f>
        <v/>
      </c>
      <c r="M32">
        <v>24</v>
      </c>
    </row>
    <row r="33" spans="1:26" ht="18" x14ac:dyDescent="0.25">
      <c r="A33" s="66" t="s">
        <v>10</v>
      </c>
      <c r="B33" s="15">
        <f>TEOR.EQ_A_G_6!Y3</f>
        <v>0</v>
      </c>
      <c r="C33" s="15">
        <f>TIG.EQ_At_G_1!Y3</f>
        <v>0</v>
      </c>
      <c r="D33" t="e">
        <f>IF(K34&gt;0,K34,"")</f>
        <v>#DIV/0!</v>
      </c>
      <c r="E33" s="17" t="e">
        <f>D15-F33</f>
        <v>#VALUE!</v>
      </c>
      <c r="F33" s="17" t="e">
        <f>(F14-D14)+(F13-D13)</f>
        <v>#VALUE!</v>
      </c>
      <c r="G33" s="90" t="s">
        <v>30</v>
      </c>
      <c r="H33" s="91" t="e">
        <f>SUM(H9:H32)</f>
        <v>#DIV/0!</v>
      </c>
      <c r="I33" s="91">
        <f>SUM(I9:I32)</f>
        <v>1000</v>
      </c>
      <c r="J33" s="91" t="e">
        <f>MAX(J9:J32)</f>
        <v>#DIV/0!</v>
      </c>
      <c r="K33" s="91" t="e">
        <f>IF(H33&gt;H65,(H33-I33),"")</f>
        <v>#DIV/0!</v>
      </c>
      <c r="M33">
        <v>25</v>
      </c>
    </row>
    <row r="34" spans="1:26" x14ac:dyDescent="0.25">
      <c r="B34" s="14">
        <f>SUM(B9:B33)</f>
        <v>100</v>
      </c>
      <c r="C34" s="14">
        <f>SUM(C9:C32)</f>
        <v>100.00000000000001</v>
      </c>
      <c r="D34" s="18" t="e">
        <f>SUM(D10:D33)</f>
        <v>#DIV/0!</v>
      </c>
      <c r="G34" s="337" t="s">
        <v>31</v>
      </c>
      <c r="H34" s="338"/>
      <c r="I34" s="91"/>
      <c r="J34" s="91" t="e">
        <f>IF(B6&gt;0,B6+D33,"")</f>
        <v>#DIV/0!</v>
      </c>
      <c r="K34" s="91" t="e">
        <f>SUM(K9:K32)</f>
        <v>#DIV/0!</v>
      </c>
    </row>
    <row r="35" spans="1:26" ht="18" x14ac:dyDescent="0.25">
      <c r="A35">
        <f>'OK OK'!A3</f>
        <v>0</v>
      </c>
      <c r="B35" s="210" t="s">
        <v>14</v>
      </c>
      <c r="C35" s="210" t="s">
        <v>15</v>
      </c>
      <c r="D35" s="210" t="s">
        <v>8</v>
      </c>
      <c r="E35" s="210" t="s">
        <v>9</v>
      </c>
      <c r="F35" s="210" t="s">
        <v>234</v>
      </c>
      <c r="G35" s="210" t="s">
        <v>56</v>
      </c>
      <c r="H35" s="210" t="s">
        <v>57</v>
      </c>
      <c r="I35" s="210" t="s">
        <v>58</v>
      </c>
      <c r="J35" s="210" t="s">
        <v>77</v>
      </c>
      <c r="K35" s="210" t="s">
        <v>204</v>
      </c>
      <c r="L35" s="210" t="s">
        <v>16</v>
      </c>
      <c r="M35" s="210" t="s">
        <v>12</v>
      </c>
      <c r="N35" s="210" t="s">
        <v>44</v>
      </c>
      <c r="O35" s="210" t="s">
        <v>55</v>
      </c>
      <c r="P35" s="210" t="s">
        <v>17</v>
      </c>
      <c r="Q35" s="210" t="s">
        <v>80</v>
      </c>
      <c r="R35" s="210" t="s">
        <v>81</v>
      </c>
      <c r="S35" s="210" t="s">
        <v>82</v>
      </c>
      <c r="T35" s="210" t="s">
        <v>83</v>
      </c>
      <c r="U35" s="210" t="s">
        <v>45</v>
      </c>
      <c r="V35" s="210" t="s">
        <v>43</v>
      </c>
      <c r="W35" s="210" t="s">
        <v>13</v>
      </c>
      <c r="X35" s="210" t="s">
        <v>0</v>
      </c>
      <c r="Y35" s="210" t="s">
        <v>11</v>
      </c>
      <c r="Z35" s="210" t="s">
        <v>10</v>
      </c>
    </row>
    <row r="36" spans="1:26" x14ac:dyDescent="0.25">
      <c r="A36" s="124" t="str">
        <f>'OK OK'!A4</f>
        <v>Composition in the crucible</v>
      </c>
      <c r="B36">
        <f>'OK OK'!B4</f>
        <v>94.328499999999991</v>
      </c>
      <c r="C36">
        <f>'OK OK'!C4</f>
        <v>0.89</v>
      </c>
      <c r="D36">
        <f>'OK OK'!D4</f>
        <v>1.43</v>
      </c>
      <c r="E36">
        <f>'OK OK'!E4</f>
        <v>0</v>
      </c>
      <c r="F36">
        <f>'OK OK'!F4</f>
        <v>0</v>
      </c>
      <c r="G36">
        <f>'OK OK'!G4</f>
        <v>0.2</v>
      </c>
      <c r="H36">
        <f>'OK OK'!H4</f>
        <v>5.0000000000000001E-3</v>
      </c>
      <c r="I36">
        <f>'OK OK'!I4</f>
        <v>1E-3</v>
      </c>
      <c r="J36">
        <f>'OK OK'!J4</f>
        <v>1E-3</v>
      </c>
      <c r="K36">
        <f>'OK OK'!K4</f>
        <v>1.5E-3</v>
      </c>
      <c r="L36">
        <f>'OK OK'!L4</f>
        <v>1.6</v>
      </c>
      <c r="M36">
        <f>'OK OK'!M4</f>
        <v>1E-3</v>
      </c>
      <c r="N36">
        <f>'OK OK'!N4</f>
        <v>1.3</v>
      </c>
      <c r="O36">
        <f>'OK OK'!O4</f>
        <v>0.19</v>
      </c>
      <c r="P36">
        <f>'OK OK'!P4</f>
        <v>0</v>
      </c>
      <c r="Q36">
        <f>'OK OK'!Q4</f>
        <v>5.1999999999999998E-2</v>
      </c>
      <c r="R36">
        <f>'OK OK'!R4</f>
        <v>0</v>
      </c>
      <c r="S36">
        <f>'OK OK'!S4</f>
        <v>0</v>
      </c>
      <c r="T36">
        <f>'OK OK'!T4</f>
        <v>0</v>
      </c>
      <c r="U36">
        <f>'OK OK'!U4</f>
        <v>0</v>
      </c>
      <c r="V36">
        <f>'OK OK'!V4</f>
        <v>0</v>
      </c>
      <c r="W36">
        <f>'OK OK'!W4</f>
        <v>0</v>
      </c>
      <c r="X36">
        <f>'OK OK'!X4</f>
        <v>0</v>
      </c>
      <c r="Y36">
        <f>'OK OK'!Y4</f>
        <v>0</v>
      </c>
      <c r="Z36">
        <f>'OK OK'!Z4</f>
        <v>0</v>
      </c>
    </row>
    <row r="37" spans="1:26" x14ac:dyDescent="0.25">
      <c r="A37" s="96" t="s">
        <v>165</v>
      </c>
      <c r="B37" t="e">
        <f>100-C37-D37-E37-F37-G37-H37-I37-J37-K37-L37-M37-N37-O37-P37-Q37-R37-S37-T37-U37-V37-W37-X37-Y37-Z37</f>
        <v>#DIV/0!</v>
      </c>
      <c r="C37" t="e">
        <f>C36/G6</f>
        <v>#DIV/0!</v>
      </c>
      <c r="D37" t="e">
        <f>D36/G6</f>
        <v>#DIV/0!</v>
      </c>
      <c r="E37" t="e">
        <f>E36/G6</f>
        <v>#DIV/0!</v>
      </c>
      <c r="F37" t="e">
        <f>F36/G6</f>
        <v>#DIV/0!</v>
      </c>
      <c r="G37" t="e">
        <f>G36/G6</f>
        <v>#DIV/0!</v>
      </c>
      <c r="H37" t="e">
        <f>H36/G6</f>
        <v>#DIV/0!</v>
      </c>
      <c r="I37" t="e">
        <f>I36/G6</f>
        <v>#DIV/0!</v>
      </c>
      <c r="J37" t="e">
        <f>J36/G6</f>
        <v>#DIV/0!</v>
      </c>
      <c r="K37" t="e">
        <f>K36/G6</f>
        <v>#DIV/0!</v>
      </c>
      <c r="L37" t="e">
        <f>L36/G6</f>
        <v>#DIV/0!</v>
      </c>
      <c r="M37" t="e">
        <f>M36/G6</f>
        <v>#DIV/0!</v>
      </c>
      <c r="N37" t="e">
        <f>N36/G6</f>
        <v>#DIV/0!</v>
      </c>
      <c r="O37" t="e">
        <f>O36/G6</f>
        <v>#DIV/0!</v>
      </c>
      <c r="P37" t="e">
        <f>P36/G6</f>
        <v>#DIV/0!</v>
      </c>
      <c r="Q37" t="e">
        <f>Q36/G6</f>
        <v>#DIV/0!</v>
      </c>
      <c r="R37" t="e">
        <f>R36/G6</f>
        <v>#DIV/0!</v>
      </c>
      <c r="S37" t="e">
        <f>S36/G6</f>
        <v>#DIV/0!</v>
      </c>
      <c r="T37" t="e">
        <f>T36/G6</f>
        <v>#DIV/0!</v>
      </c>
      <c r="U37" t="e">
        <f>U36/G6</f>
        <v>#DIV/0!</v>
      </c>
      <c r="V37" t="e">
        <f>V36/G6</f>
        <v>#DIV/0!</v>
      </c>
      <c r="W37" t="e">
        <f>W36/G6</f>
        <v>#DIV/0!</v>
      </c>
      <c r="X37" t="e">
        <f>X36/G6</f>
        <v>#DIV/0!</v>
      </c>
      <c r="Y37" t="e">
        <f>Y36/G6</f>
        <v>#DIV/0!</v>
      </c>
      <c r="Z37" t="e">
        <f>Z36/G6</f>
        <v>#DIV/0!</v>
      </c>
    </row>
    <row r="54" spans="1:51" ht="18.75" x14ac:dyDescent="0.3">
      <c r="B54" s="210" t="s">
        <v>14</v>
      </c>
      <c r="C54" s="210" t="s">
        <v>15</v>
      </c>
      <c r="D54" s="210" t="s">
        <v>8</v>
      </c>
      <c r="E54" s="210" t="s">
        <v>9</v>
      </c>
      <c r="F54" s="210" t="s">
        <v>234</v>
      </c>
      <c r="G54" s="210" t="s">
        <v>56</v>
      </c>
      <c r="H54" s="210" t="s">
        <v>57</v>
      </c>
      <c r="I54" s="210" t="s">
        <v>58</v>
      </c>
      <c r="J54" s="210" t="s">
        <v>77</v>
      </c>
      <c r="K54" s="210" t="s">
        <v>204</v>
      </c>
      <c r="L54" s="210" t="s">
        <v>16</v>
      </c>
      <c r="M54" s="210" t="s">
        <v>12</v>
      </c>
      <c r="N54" s="210" t="s">
        <v>44</v>
      </c>
      <c r="O54" s="210" t="s">
        <v>55</v>
      </c>
      <c r="P54" s="210" t="s">
        <v>17</v>
      </c>
      <c r="Q54" s="210" t="s">
        <v>80</v>
      </c>
      <c r="R54" s="210" t="s">
        <v>81</v>
      </c>
      <c r="S54" s="210" t="s">
        <v>82</v>
      </c>
      <c r="T54" s="210" t="s">
        <v>83</v>
      </c>
      <c r="U54" s="210" t="s">
        <v>45</v>
      </c>
      <c r="V54" s="210" t="s">
        <v>43</v>
      </c>
      <c r="W54" s="210" t="s">
        <v>13</v>
      </c>
      <c r="X54" s="210" t="s">
        <v>0</v>
      </c>
      <c r="Y54" s="210" t="s">
        <v>11</v>
      </c>
      <c r="Z54" s="210" t="s">
        <v>10</v>
      </c>
      <c r="AA54" s="211" t="s">
        <v>14</v>
      </c>
      <c r="AB54" s="212" t="s">
        <v>15</v>
      </c>
      <c r="AC54" s="213" t="s">
        <v>8</v>
      </c>
      <c r="AD54" s="214" t="s">
        <v>9</v>
      </c>
      <c r="AE54" s="213" t="s">
        <v>234</v>
      </c>
      <c r="AF54" s="213" t="s">
        <v>56</v>
      </c>
      <c r="AG54" s="214" t="s">
        <v>57</v>
      </c>
      <c r="AH54" s="213" t="s">
        <v>58</v>
      </c>
      <c r="AI54" s="215" t="s">
        <v>77</v>
      </c>
      <c r="AJ54" s="216" t="s">
        <v>204</v>
      </c>
      <c r="AK54" s="216" t="s">
        <v>16</v>
      </c>
      <c r="AL54" s="210" t="s">
        <v>13</v>
      </c>
      <c r="AM54" s="215" t="s">
        <v>44</v>
      </c>
      <c r="AN54" s="216" t="s">
        <v>55</v>
      </c>
      <c r="AO54" s="210" t="s">
        <v>17</v>
      </c>
      <c r="AP54" s="210" t="s">
        <v>80</v>
      </c>
      <c r="AQ54" s="210" t="s">
        <v>81</v>
      </c>
      <c r="AR54" s="210" t="s">
        <v>82</v>
      </c>
      <c r="AS54" s="210" t="s">
        <v>83</v>
      </c>
      <c r="AT54" s="210" t="s">
        <v>45</v>
      </c>
      <c r="AU54" s="210" t="s">
        <v>43</v>
      </c>
      <c r="AV54" s="210" t="s">
        <v>12</v>
      </c>
      <c r="AW54" s="210" t="s">
        <v>0</v>
      </c>
      <c r="AX54" s="210" t="s">
        <v>11</v>
      </c>
      <c r="AY54" s="210" t="s">
        <v>10</v>
      </c>
    </row>
    <row r="55" spans="1:51" ht="18.75" x14ac:dyDescent="0.3">
      <c r="B55" s="36" t="e">
        <f>100-C55-D55-E55-F55-G55-H55-I55-J55-K55-L55-M55-N55-O55-P55-Q55-R55-S55-T55-U55-V55-W55-X55-Y55-Z55</f>
        <v>#DIV/0!</v>
      </c>
      <c r="C55" s="37" t="e">
        <f>C37</f>
        <v>#DIV/0!</v>
      </c>
      <c r="D55" s="37" t="e">
        <f t="shared" ref="D55:Z55" si="7">D37</f>
        <v>#DIV/0!</v>
      </c>
      <c r="E55" s="37" t="e">
        <f t="shared" si="7"/>
        <v>#DIV/0!</v>
      </c>
      <c r="F55" s="37" t="e">
        <f t="shared" si="7"/>
        <v>#DIV/0!</v>
      </c>
      <c r="G55" s="37" t="e">
        <f t="shared" si="7"/>
        <v>#DIV/0!</v>
      </c>
      <c r="H55" s="37" t="e">
        <f t="shared" si="7"/>
        <v>#DIV/0!</v>
      </c>
      <c r="I55" s="37" t="e">
        <f t="shared" si="7"/>
        <v>#DIV/0!</v>
      </c>
      <c r="J55" s="37" t="e">
        <f t="shared" si="7"/>
        <v>#DIV/0!</v>
      </c>
      <c r="K55" s="37" t="e">
        <f t="shared" si="7"/>
        <v>#DIV/0!</v>
      </c>
      <c r="L55" s="37" t="e">
        <f t="shared" si="7"/>
        <v>#DIV/0!</v>
      </c>
      <c r="M55" s="37" t="e">
        <f t="shared" si="7"/>
        <v>#DIV/0!</v>
      </c>
      <c r="N55" s="37" t="e">
        <f t="shared" si="7"/>
        <v>#DIV/0!</v>
      </c>
      <c r="O55" s="37" t="e">
        <f t="shared" si="7"/>
        <v>#DIV/0!</v>
      </c>
      <c r="P55" s="37" t="e">
        <f t="shared" si="7"/>
        <v>#DIV/0!</v>
      </c>
      <c r="Q55" s="37" t="e">
        <f t="shared" si="7"/>
        <v>#DIV/0!</v>
      </c>
      <c r="R55" s="37" t="e">
        <f t="shared" si="7"/>
        <v>#DIV/0!</v>
      </c>
      <c r="S55" s="37" t="e">
        <f t="shared" si="7"/>
        <v>#DIV/0!</v>
      </c>
      <c r="T55" s="37" t="e">
        <f t="shared" si="7"/>
        <v>#DIV/0!</v>
      </c>
      <c r="U55" s="37" t="e">
        <f t="shared" si="7"/>
        <v>#DIV/0!</v>
      </c>
      <c r="V55" s="37" t="e">
        <f t="shared" si="7"/>
        <v>#DIV/0!</v>
      </c>
      <c r="W55" s="37" t="e">
        <f t="shared" si="7"/>
        <v>#DIV/0!</v>
      </c>
      <c r="X55" s="37" t="e">
        <f t="shared" si="7"/>
        <v>#DIV/0!</v>
      </c>
      <c r="Y55" s="37" t="e">
        <f t="shared" si="7"/>
        <v>#DIV/0!</v>
      </c>
      <c r="Z55" s="37" t="e">
        <f t="shared" si="7"/>
        <v>#DIV/0!</v>
      </c>
      <c r="AA55" s="219">
        <v>55.84</v>
      </c>
      <c r="AB55" s="219">
        <v>28.0855</v>
      </c>
      <c r="AC55" s="219">
        <v>58.693399999999997</v>
      </c>
      <c r="AD55" s="219">
        <v>63.545999999999999</v>
      </c>
      <c r="AE55" s="219">
        <v>65.38</v>
      </c>
      <c r="AF55" s="219">
        <v>12.01</v>
      </c>
      <c r="AG55" s="219">
        <v>30.973762000000001</v>
      </c>
      <c r="AH55" s="219">
        <v>32.064999999999998</v>
      </c>
      <c r="AI55" s="219">
        <v>14.0067</v>
      </c>
      <c r="AJ55" s="219">
        <v>10.81</v>
      </c>
      <c r="AK55" s="219">
        <v>54.938043999999998</v>
      </c>
      <c r="AL55" s="219">
        <v>24.305</v>
      </c>
      <c r="AM55" s="219">
        <v>51.996099999999998</v>
      </c>
      <c r="AN55" s="219">
        <v>95.95</v>
      </c>
      <c r="AO55" s="220">
        <v>47.866999999999997</v>
      </c>
      <c r="AP55" s="220">
        <v>50.941499999999998</v>
      </c>
      <c r="AQ55" s="220">
        <v>92.906369999999995</v>
      </c>
      <c r="AR55" s="220">
        <v>183.84</v>
      </c>
      <c r="AS55" s="220">
        <v>180.94788</v>
      </c>
      <c r="AT55" s="220">
        <v>91.224000000000004</v>
      </c>
      <c r="AU55" s="220">
        <v>58.933194999999998</v>
      </c>
      <c r="AV55" s="220">
        <v>26.981539999999999</v>
      </c>
      <c r="AW55" s="219">
        <v>121.76</v>
      </c>
      <c r="AX55" s="219">
        <v>207.2</v>
      </c>
      <c r="AY55" s="219">
        <v>118.71</v>
      </c>
    </row>
    <row r="56" spans="1:51" ht="18.75" x14ac:dyDescent="0.3">
      <c r="A56" s="96" t="s">
        <v>166</v>
      </c>
      <c r="B56" s="36" t="e">
        <f>100*((((B55)/(AA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C56" s="36" t="e">
        <f>100*((((C55)/(AB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D56" s="36" t="e">
        <f>100*((((D55)/(AC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E56" s="36" t="e">
        <f>100*((((E55)/(AD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F56" s="36" t="e">
        <f>100*((((F55)/(AE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G56" s="36" t="e">
        <f>100*((((G55)/(AF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H56" s="36" t="e">
        <f>100*((((H55)/(AG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I56" s="36" t="e">
        <f>100*((((I55)/(AH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J56" s="36" t="e">
        <f>100*((((J55)/(AI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K56" s="36" t="e">
        <f>100*((((K55)/(AJ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L56" s="36" t="e">
        <f>100*((((L55)/(AK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M56" s="36" t="e">
        <f>100*((((M55)/(AL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N56" s="36" t="e">
        <f>100*((((N55)/(AM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O56" s="36" t="e">
        <f>100*((((O55)/(AN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P56" s="36" t="e">
        <f>100*((((P55)/(AO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Q56" s="36" t="e">
        <f>100*((((Q55)/(AP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R56" s="36" t="e">
        <f>100*((((R55)/(AQ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S56" s="36" t="e">
        <f>100*((((S55)/(AR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T56" s="36" t="e">
        <f>100*((((T55)/(AS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U56" s="36" t="e">
        <f>100*((((U55)/(AT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V56" s="36" t="e">
        <f>100*((((V55)/(AU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W56" s="36" t="e">
        <f>100*((((W55)/(AV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X56" s="7" t="e">
        <f>100*((((X55)/(AW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Y56" s="7" t="e">
        <f>100*((((Y55)/(AX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Z56" s="7" t="e">
        <f>100*((((Z55)/(AY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</sheetData>
  <mergeCells count="1">
    <mergeCell ref="G34:H34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BC7B4-7323-4C06-9C0E-ACDA8CB4A4B6}">
  <dimension ref="A1:AY56"/>
  <sheetViews>
    <sheetView topLeftCell="E25" zoomScale="87" zoomScaleNormal="87" workbookViewId="0">
      <selection activeCell="AA54" sqref="AA54:AY55"/>
    </sheetView>
  </sheetViews>
  <sheetFormatPr baseColWidth="10" defaultRowHeight="15" x14ac:dyDescent="0.25"/>
  <cols>
    <col min="1" max="1" width="15.85546875" customWidth="1"/>
    <col min="2" max="2" width="16.140625" customWidth="1"/>
    <col min="4" max="4" width="13.5703125" customWidth="1"/>
    <col min="5" max="5" width="12.5703125" customWidth="1"/>
    <col min="6" max="6" width="13.5703125" customWidth="1"/>
  </cols>
  <sheetData>
    <row r="1" spans="1:51" ht="18.75" x14ac:dyDescent="0.3">
      <c r="A1" s="210" t="s">
        <v>14</v>
      </c>
      <c r="B1" s="210" t="s">
        <v>15</v>
      </c>
      <c r="C1" s="210" t="s">
        <v>8</v>
      </c>
      <c r="D1" s="210" t="s">
        <v>9</v>
      </c>
      <c r="E1" s="210" t="s">
        <v>234</v>
      </c>
      <c r="F1" s="210" t="s">
        <v>56</v>
      </c>
      <c r="G1" s="210" t="s">
        <v>57</v>
      </c>
      <c r="H1" s="210" t="s">
        <v>58</v>
      </c>
      <c r="I1" s="210" t="s">
        <v>77</v>
      </c>
      <c r="J1" s="210" t="s">
        <v>204</v>
      </c>
      <c r="K1" s="210" t="s">
        <v>16</v>
      </c>
      <c r="L1" s="210" t="s">
        <v>12</v>
      </c>
      <c r="M1" s="210" t="s">
        <v>44</v>
      </c>
      <c r="N1" s="210" t="s">
        <v>55</v>
      </c>
      <c r="O1" s="210" t="s">
        <v>17</v>
      </c>
      <c r="P1" s="210" t="s">
        <v>80</v>
      </c>
      <c r="Q1" s="210" t="s">
        <v>81</v>
      </c>
      <c r="R1" s="210" t="s">
        <v>82</v>
      </c>
      <c r="S1" s="210" t="s">
        <v>83</v>
      </c>
      <c r="T1" s="210" t="s">
        <v>45</v>
      </c>
      <c r="U1" s="210" t="s">
        <v>43</v>
      </c>
      <c r="V1" s="210" t="s">
        <v>13</v>
      </c>
      <c r="W1" s="210" t="s">
        <v>0</v>
      </c>
      <c r="X1" s="210" t="s">
        <v>11</v>
      </c>
      <c r="Y1" s="210" t="s">
        <v>10</v>
      </c>
      <c r="Z1" s="211" t="s">
        <v>14</v>
      </c>
      <c r="AA1" s="212" t="s">
        <v>15</v>
      </c>
      <c r="AB1" s="213" t="s">
        <v>8</v>
      </c>
      <c r="AC1" s="214" t="s">
        <v>9</v>
      </c>
      <c r="AD1" s="213" t="s">
        <v>234</v>
      </c>
      <c r="AE1" s="213" t="s">
        <v>56</v>
      </c>
      <c r="AF1" s="214" t="s">
        <v>57</v>
      </c>
      <c r="AG1" s="213" t="s">
        <v>58</v>
      </c>
      <c r="AH1" s="215" t="s">
        <v>77</v>
      </c>
      <c r="AI1" s="216" t="s">
        <v>204</v>
      </c>
      <c r="AJ1" s="216" t="s">
        <v>16</v>
      </c>
      <c r="AK1" s="210" t="s">
        <v>13</v>
      </c>
      <c r="AL1" s="215" t="s">
        <v>44</v>
      </c>
      <c r="AM1" s="216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12</v>
      </c>
      <c r="AV1" s="210" t="s">
        <v>0</v>
      </c>
      <c r="AW1" s="210" t="s">
        <v>11</v>
      </c>
      <c r="AX1" s="210" t="s">
        <v>10</v>
      </c>
      <c r="AY1" s="35"/>
    </row>
    <row r="2" spans="1:51" ht="18.75" x14ac:dyDescent="0.3">
      <c r="A2" s="36">
        <f>100-B2-C2-D2-E2-F2-G2-H2-I2-J2-K2-L2-M2-N2-O2-P2-Q2-R2-S2-T2-U2-V2-W2-X2-Y2</f>
        <v>94.328499999999991</v>
      </c>
      <c r="B2" s="37">
        <f>'OK OK'!C4</f>
        <v>0.89</v>
      </c>
      <c r="C2" s="37">
        <f>'OK OK'!D4</f>
        <v>1.43</v>
      </c>
      <c r="D2" s="37">
        <f>'OK OK'!E4</f>
        <v>0</v>
      </c>
      <c r="E2" s="37">
        <f>'OK OK'!F4</f>
        <v>0</v>
      </c>
      <c r="F2" s="37">
        <f>'OK OK'!G4</f>
        <v>0.2</v>
      </c>
      <c r="G2" s="37">
        <f>'OK OK'!H4</f>
        <v>5.0000000000000001E-3</v>
      </c>
      <c r="H2" s="37">
        <f>'OK OK'!I4</f>
        <v>1E-3</v>
      </c>
      <c r="I2" s="37">
        <f>'OK OK'!J4</f>
        <v>1E-3</v>
      </c>
      <c r="J2" s="37">
        <f>'OK OK'!K4</f>
        <v>1.5E-3</v>
      </c>
      <c r="K2" s="37">
        <f>'OK OK'!L4</f>
        <v>1.6</v>
      </c>
      <c r="L2" s="37">
        <f>'OK OK'!M4</f>
        <v>1E-3</v>
      </c>
      <c r="M2" s="37">
        <f>'OK OK'!N4</f>
        <v>1.3</v>
      </c>
      <c r="N2" s="37">
        <f>'OK OK'!O4</f>
        <v>0.19</v>
      </c>
      <c r="O2" s="37">
        <f>'OK OK'!P4</f>
        <v>0</v>
      </c>
      <c r="P2" s="37">
        <f>'OK OK'!Q4</f>
        <v>5.1999999999999998E-2</v>
      </c>
      <c r="Q2" s="37">
        <f>'OK OK'!R4</f>
        <v>0</v>
      </c>
      <c r="R2" s="37">
        <f>'OK OK'!S4</f>
        <v>0</v>
      </c>
      <c r="S2" s="37">
        <f>'OK OK'!T4</f>
        <v>0</v>
      </c>
      <c r="T2" s="37">
        <f>'OK OK'!U4</f>
        <v>0</v>
      </c>
      <c r="U2" s="37">
        <f>'OK OK'!V4</f>
        <v>0</v>
      </c>
      <c r="V2" s="37">
        <f>'OK OK'!W4</f>
        <v>0</v>
      </c>
      <c r="W2" s="37">
        <f>'OK OK'!X4</f>
        <v>0</v>
      </c>
      <c r="X2" s="37">
        <f>'OK OK'!Y4</f>
        <v>0</v>
      </c>
      <c r="Y2" s="37">
        <f>'OK OK'!Z4</f>
        <v>0</v>
      </c>
      <c r="Z2" s="219">
        <v>55.84</v>
      </c>
      <c r="AA2" s="219">
        <v>28.0855</v>
      </c>
      <c r="AB2" s="219">
        <v>58.693399999999997</v>
      </c>
      <c r="AC2" s="219">
        <v>63.545999999999999</v>
      </c>
      <c r="AD2" s="219">
        <v>65.38</v>
      </c>
      <c r="AE2" s="219">
        <v>12.01</v>
      </c>
      <c r="AF2" s="219">
        <v>30.973762000000001</v>
      </c>
      <c r="AG2" s="219">
        <v>32.064999999999998</v>
      </c>
      <c r="AH2" s="219">
        <v>14.0067</v>
      </c>
      <c r="AI2" s="219">
        <v>10.81</v>
      </c>
      <c r="AJ2" s="219">
        <v>54.938043999999998</v>
      </c>
      <c r="AK2" s="219">
        <v>24.305</v>
      </c>
      <c r="AL2" s="219">
        <v>51.996099999999998</v>
      </c>
      <c r="AM2" s="219">
        <v>95.95</v>
      </c>
      <c r="AN2" s="220">
        <v>47.866999999999997</v>
      </c>
      <c r="AO2" s="220">
        <v>50.941499999999998</v>
      </c>
      <c r="AP2" s="220">
        <v>92.906369999999995</v>
      </c>
      <c r="AQ2" s="220">
        <v>183.84</v>
      </c>
      <c r="AR2" s="220">
        <v>180.94788</v>
      </c>
      <c r="AS2" s="220">
        <v>91.224000000000004</v>
      </c>
      <c r="AT2" s="220">
        <v>58.933194999999998</v>
      </c>
      <c r="AU2" s="220">
        <v>26.981539999999999</v>
      </c>
      <c r="AV2" s="219">
        <v>121.76</v>
      </c>
      <c r="AW2" s="219">
        <v>207.2</v>
      </c>
      <c r="AX2" s="219">
        <v>118.71</v>
      </c>
      <c r="AY2" s="7"/>
    </row>
    <row r="3" spans="1:51" ht="18.75" x14ac:dyDescent="0.3">
      <c r="A3" s="36">
        <f>100*((((A2)/(Z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92.840162287943627</v>
      </c>
      <c r="B3" s="36">
        <f>100*((((B2)/(AA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1.741591189035695</v>
      </c>
      <c r="C3" s="36">
        <f>100*((((C2)/(AB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1.3390140731654472</v>
      </c>
      <c r="D3" s="36">
        <f>100*((((D2)/(AC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E3" s="36">
        <f>100*((((E2)/(AD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F3" s="36">
        <f>100*((((F2)/(AE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0.91521970155323784</v>
      </c>
      <c r="G3" s="36">
        <f>100*((((G2)/(AF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8.8718546811123438E-3</v>
      </c>
      <c r="H3" s="36">
        <f>100*((((H2)/(AG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1.7139854382745025E-3</v>
      </c>
      <c r="I3" s="36">
        <f>100*((((I2)/(AH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3.9237609914021089E-3</v>
      </c>
      <c r="J3" s="36">
        <f>100*((((J2)/(AI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7.6261253115085933E-3</v>
      </c>
      <c r="K3" s="36">
        <f>100*((((K2)/(AJ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1.6006086588236572</v>
      </c>
      <c r="L3" s="36">
        <f>100*((((L2)/(AK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2.2612196288118464E-3</v>
      </c>
      <c r="M3" s="36">
        <f>100*((((M2)/(AL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1.3740766327042508</v>
      </c>
      <c r="N3" s="36">
        <f>100*((((N2)/(AM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0.10882959025400381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P3" s="36">
        <f>100*((((P2)/(AO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5.6100920468972061E-2</v>
      </c>
      <c r="Q3" s="36">
        <f>100*((((Q2)/(AP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R3" s="36">
        <f>100*((((R2)/(AQ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S3" s="36">
        <f>100*((((S2)/(AR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T3" s="36">
        <f>100*((((T2)/(AS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U3" s="36">
        <f>100*((((U2)/(AT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V3" s="36">
        <f>100*((((V2)/(AU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W3" s="7">
        <f>100*((((W2)/(AV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X3" s="7">
        <f>100*((((X2)/(AW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Y3" s="7">
        <f>100*((((Y2)/(AX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51" ht="15.75" x14ac:dyDescent="0.25">
      <c r="A4" s="8" t="s">
        <v>18</v>
      </c>
      <c r="B4" s="9">
        <v>111</v>
      </c>
    </row>
    <row r="5" spans="1:51" ht="15.75" x14ac:dyDescent="0.25">
      <c r="A5" s="8" t="s">
        <v>19</v>
      </c>
      <c r="B5" s="9" t="s">
        <v>79</v>
      </c>
      <c r="C5" s="10"/>
    </row>
    <row r="6" spans="1:51" ht="15.75" x14ac:dyDescent="0.25">
      <c r="A6" s="8" t="s">
        <v>20</v>
      </c>
      <c r="B6" s="9">
        <f>'OK OK'!B13</f>
        <v>1000</v>
      </c>
      <c r="D6" s="8" t="s">
        <v>21</v>
      </c>
      <c r="E6" s="11" t="e">
        <f>IF(J33&gt;1,J33,"")</f>
        <v>#DIV/0!</v>
      </c>
      <c r="F6" s="12" t="s">
        <v>22</v>
      </c>
      <c r="G6" t="e">
        <f>E6/B6</f>
        <v>#DIV/0!</v>
      </c>
    </row>
    <row r="7" spans="1:51" ht="15.75" x14ac:dyDescent="0.25">
      <c r="A7" s="3"/>
      <c r="B7" t="s">
        <v>50</v>
      </c>
      <c r="C7" t="s">
        <v>51</v>
      </c>
    </row>
    <row r="8" spans="1:51" ht="18.75" x14ac:dyDescent="0.3">
      <c r="A8" s="3"/>
      <c r="B8" s="13" t="s">
        <v>23</v>
      </c>
      <c r="C8" s="13" t="s">
        <v>24</v>
      </c>
      <c r="D8" s="13" t="s">
        <v>25</v>
      </c>
      <c r="E8" s="19" t="s">
        <v>38</v>
      </c>
      <c r="F8" s="13" t="s">
        <v>25</v>
      </c>
      <c r="G8" s="10"/>
      <c r="H8" s="14" t="s">
        <v>26</v>
      </c>
      <c r="I8" s="14" t="s">
        <v>27</v>
      </c>
      <c r="J8" s="14" t="s">
        <v>28</v>
      </c>
      <c r="K8" s="14" t="s">
        <v>29</v>
      </c>
      <c r="Z8" s="57"/>
      <c r="AA8" s="58"/>
      <c r="AB8" s="59"/>
      <c r="AC8" s="60"/>
      <c r="AD8" s="59"/>
      <c r="AE8" s="59"/>
      <c r="AF8" s="60"/>
      <c r="AG8" s="59"/>
      <c r="AH8" s="61"/>
      <c r="AI8" s="62"/>
      <c r="AJ8" s="62"/>
      <c r="AK8" s="63"/>
      <c r="AL8" s="63"/>
      <c r="AM8" s="62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</row>
    <row r="9" spans="1:51" ht="18.75" x14ac:dyDescent="0.3">
      <c r="A9" s="66" t="s">
        <v>14</v>
      </c>
      <c r="B9" s="15">
        <f>TEOR.EQ_A_G_7!A3</f>
        <v>100</v>
      </c>
      <c r="C9" s="15">
        <f>TIG.EQ_At_G_1!A3</f>
        <v>94.332432355284283</v>
      </c>
      <c r="D9" s="134" t="e">
        <f>IF(K9&gt;0,K9,"")</f>
        <v>#DIV/0!</v>
      </c>
      <c r="E9" s="13" t="s">
        <v>56</v>
      </c>
      <c r="F9" s="20" t="e">
        <f t="shared" ref="F9:F12" si="0">D9</f>
        <v>#DIV/0!</v>
      </c>
      <c r="G9" s="90"/>
      <c r="H9" s="91" t="e">
        <f t="shared" ref="H9:H32" si="1">IF(B9&gt;0,$J$33*B9/100,"")</f>
        <v>#DIV/0!</v>
      </c>
      <c r="I9" s="91">
        <f>IF(C9&gt;0,$B$6*C9/100,"")</f>
        <v>943.32432355284288</v>
      </c>
      <c r="J9" s="91">
        <f>IF(B9&gt;0,I9/B9*100,"")</f>
        <v>943.324323552843</v>
      </c>
      <c r="K9" s="91" t="e">
        <f t="shared" ref="K9:K31" si="2">IF(H9&gt;H41,(H9-I9),"")</f>
        <v>#DIV/0!</v>
      </c>
      <c r="M9">
        <v>1</v>
      </c>
      <c r="O9" s="91" t="e">
        <f>D9</f>
        <v>#DIV/0!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V9" s="7"/>
      <c r="AW9" s="7"/>
      <c r="AX9" s="7"/>
    </row>
    <row r="10" spans="1:51" ht="18" x14ac:dyDescent="0.25">
      <c r="A10" s="66" t="s">
        <v>15</v>
      </c>
      <c r="B10" s="15">
        <f>TEOR.EQ_A_G_7!B3</f>
        <v>0</v>
      </c>
      <c r="C10" s="15">
        <f>TIG.EQ_At_G_1!B3</f>
        <v>0.89003710221410315</v>
      </c>
      <c r="D10" s="134" t="str">
        <f>IF(K10&gt;0,K10,"")</f>
        <v/>
      </c>
      <c r="E10" s="13" t="s">
        <v>16</v>
      </c>
      <c r="F10" s="20" t="e">
        <f>D10*5</f>
        <v>#VALUE!</v>
      </c>
      <c r="G10" s="90"/>
      <c r="H10" s="91" t="str">
        <f t="shared" si="1"/>
        <v/>
      </c>
      <c r="I10" s="91">
        <f t="shared" ref="I10:I16" si="3">IF(C10&gt;0,$B$6*C10/100,"")</f>
        <v>8.9003710221410319</v>
      </c>
      <c r="J10" s="91" t="str">
        <f>IF(B10&gt;0,I10/B10*100,"")</f>
        <v/>
      </c>
      <c r="K10" s="91" t="str">
        <f t="shared" si="2"/>
        <v/>
      </c>
      <c r="M10">
        <v>2</v>
      </c>
      <c r="O10" s="91" t="str">
        <f>D10</f>
        <v/>
      </c>
    </row>
    <row r="11" spans="1:51" ht="18" x14ac:dyDescent="0.25">
      <c r="A11" s="66" t="s">
        <v>8</v>
      </c>
      <c r="B11" s="15">
        <f>TEOR.EQ_A_G_7!C3</f>
        <v>0</v>
      </c>
      <c r="C11" s="15">
        <f>TIG.EQ_At_G_1!C3</f>
        <v>1.4300596136698511</v>
      </c>
      <c r="D11" s="134" t="str">
        <f t="shared" ref="D11:D32" si="4">IF(K11&gt;0,K11,"")</f>
        <v/>
      </c>
      <c r="E11" s="13" t="s">
        <v>13</v>
      </c>
      <c r="F11" s="20" t="str">
        <f t="shared" si="0"/>
        <v/>
      </c>
      <c r="G11" s="90"/>
      <c r="H11" s="91" t="str">
        <f t="shared" si="1"/>
        <v/>
      </c>
      <c r="I11" s="91">
        <f t="shared" si="3"/>
        <v>14.300596136698511</v>
      </c>
      <c r="J11" s="91" t="str">
        <f>IF(B11&gt;0,I11/B11*100,"")</f>
        <v/>
      </c>
      <c r="K11" s="91" t="str">
        <f t="shared" si="2"/>
        <v/>
      </c>
      <c r="M11">
        <v>3</v>
      </c>
      <c r="O11" s="91" t="str">
        <f>D11</f>
        <v/>
      </c>
    </row>
    <row r="12" spans="1:51" ht="18" x14ac:dyDescent="0.25">
      <c r="A12" s="66" t="s">
        <v>9</v>
      </c>
      <c r="B12" s="15">
        <f>TEOR.EQ_A_G_7!D3</f>
        <v>0</v>
      </c>
      <c r="C12" s="15">
        <f>TIG.EQ_At_G_1!D3</f>
        <v>0</v>
      </c>
      <c r="D12" s="134" t="str">
        <f t="shared" si="4"/>
        <v/>
      </c>
      <c r="E12" s="13" t="s">
        <v>15</v>
      </c>
      <c r="F12" s="20" t="str">
        <f t="shared" si="0"/>
        <v/>
      </c>
      <c r="G12" s="90"/>
      <c r="H12" s="91" t="str">
        <f t="shared" si="1"/>
        <v/>
      </c>
      <c r="I12" s="91" t="str">
        <f>IF(C12&gt;0,$B$6*C12/100,"")</f>
        <v/>
      </c>
      <c r="J12" s="91" t="str">
        <f>IF(B12&gt;0,I12/B12*100,"")</f>
        <v/>
      </c>
      <c r="K12" s="91" t="str">
        <f t="shared" si="2"/>
        <v/>
      </c>
      <c r="M12">
        <v>4</v>
      </c>
      <c r="O12" s="91"/>
    </row>
    <row r="13" spans="1:51" ht="18" x14ac:dyDescent="0.25">
      <c r="A13" s="66" t="s">
        <v>234</v>
      </c>
      <c r="B13" s="15">
        <f>TEOR.EQ_A_G_7!E3</f>
        <v>0</v>
      </c>
      <c r="C13" s="15">
        <f>TIG.EQ_At_G_1!E3</f>
        <v>0</v>
      </c>
      <c r="D13" s="134" t="str">
        <f t="shared" si="4"/>
        <v/>
      </c>
      <c r="E13" s="13" t="s">
        <v>17</v>
      </c>
      <c r="F13" s="20" t="e">
        <f>D13*10</f>
        <v>#VALUE!</v>
      </c>
      <c r="G13" s="90"/>
      <c r="H13" s="91" t="str">
        <f t="shared" si="1"/>
        <v/>
      </c>
      <c r="I13" s="91" t="str">
        <f t="shared" si="3"/>
        <v/>
      </c>
      <c r="J13" s="91" t="str">
        <f>IF(B13&gt;0,I13/B13*100,"")</f>
        <v/>
      </c>
      <c r="K13" s="91" t="str">
        <f t="shared" si="2"/>
        <v/>
      </c>
      <c r="M13">
        <v>5</v>
      </c>
      <c r="O13" s="91" t="str">
        <f>D13</f>
        <v/>
      </c>
    </row>
    <row r="14" spans="1:51" ht="18" x14ac:dyDescent="0.25">
      <c r="A14" s="66" t="s">
        <v>56</v>
      </c>
      <c r="B14" s="15">
        <f>TEOR.EQ_A_G_7!F3</f>
        <v>0</v>
      </c>
      <c r="C14" s="15">
        <f>TIG.EQ_At_G_1!F3</f>
        <v>0.20533994550961771</v>
      </c>
      <c r="D14" s="134" t="str">
        <f t="shared" si="4"/>
        <v/>
      </c>
      <c r="E14" s="13" t="s">
        <v>45</v>
      </c>
      <c r="F14" s="20" t="e">
        <f>D14*10</f>
        <v>#VALUE!</v>
      </c>
      <c r="G14" s="90"/>
      <c r="H14" s="91" t="str">
        <f t="shared" si="1"/>
        <v/>
      </c>
      <c r="I14" s="91">
        <f t="shared" si="3"/>
        <v>2.0533994550961769</v>
      </c>
      <c r="J14" s="91" t="e">
        <f>IF(C14&gt;0.14,I14/B14*100,"")</f>
        <v>#DIV/0!</v>
      </c>
      <c r="K14" s="91" t="str">
        <f t="shared" si="2"/>
        <v/>
      </c>
      <c r="M14">
        <v>6</v>
      </c>
      <c r="O14" s="91" t="str">
        <f>D14</f>
        <v/>
      </c>
    </row>
    <row r="15" spans="1:51" ht="18" x14ac:dyDescent="0.25">
      <c r="A15" s="66" t="s">
        <v>57</v>
      </c>
      <c r="B15" s="15">
        <f>TEOR.EQ_A_G_7!G3</f>
        <v>0</v>
      </c>
      <c r="C15" s="15">
        <f>TIG.EQ_At_G_1!G3</f>
        <v>0</v>
      </c>
      <c r="D15" s="134" t="str">
        <f>IF(K15&gt;0,K15,"")</f>
        <v/>
      </c>
      <c r="E15" s="13" t="s">
        <v>14</v>
      </c>
      <c r="F15" s="20" t="e">
        <f>(F13-D13)+(F10-D10)+(F14-D14)</f>
        <v>#VALUE!</v>
      </c>
      <c r="G15" s="90"/>
      <c r="H15" s="91" t="str">
        <f t="shared" si="1"/>
        <v/>
      </c>
      <c r="I15" s="91" t="str">
        <f>IF(C15&gt;0,$B$6*C15/100,"")</f>
        <v/>
      </c>
      <c r="J15" s="91" t="str">
        <f>IF(B15&gt;0,I15/B15*100,"")</f>
        <v/>
      </c>
      <c r="K15" s="91" t="str">
        <f t="shared" si="2"/>
        <v/>
      </c>
      <c r="M15">
        <v>7</v>
      </c>
      <c r="O15" s="91"/>
    </row>
    <row r="16" spans="1:51" ht="18" x14ac:dyDescent="0.25">
      <c r="A16" s="66" t="s">
        <v>58</v>
      </c>
      <c r="B16" s="15">
        <f>TEOR.EQ_A_G_7!H3</f>
        <v>0</v>
      </c>
      <c r="C16" s="15">
        <f>TIG.EQ_At_G_1!H3</f>
        <v>0</v>
      </c>
      <c r="D16" s="134" t="str">
        <f t="shared" si="4"/>
        <v/>
      </c>
      <c r="E16" s="13"/>
      <c r="F16" s="21" t="e">
        <f>D16*10</f>
        <v>#VALUE!</v>
      </c>
      <c r="G16" s="90"/>
      <c r="H16" s="91" t="str">
        <f t="shared" si="1"/>
        <v/>
      </c>
      <c r="I16" s="91" t="str">
        <f t="shared" si="3"/>
        <v/>
      </c>
      <c r="J16" s="91" t="str">
        <f>IF(B16&gt;0,I16/B16*100,"")</f>
        <v/>
      </c>
      <c r="K16" s="91" t="str">
        <f t="shared" si="2"/>
        <v/>
      </c>
      <c r="M16">
        <v>8</v>
      </c>
      <c r="O16" s="91"/>
    </row>
    <row r="17" spans="1:15" ht="18" x14ac:dyDescent="0.25">
      <c r="A17" s="66" t="s">
        <v>77</v>
      </c>
      <c r="B17" s="15">
        <f>TEOR.EQ_A_G_7!I3</f>
        <v>0</v>
      </c>
      <c r="C17" s="15">
        <f>TIG.EQ_At_G_1!I3</f>
        <v>0</v>
      </c>
      <c r="D17" s="134" t="str">
        <f t="shared" si="4"/>
        <v/>
      </c>
      <c r="E17" s="13"/>
      <c r="F17" s="17" t="str">
        <f>D17</f>
        <v/>
      </c>
      <c r="G17" s="90"/>
      <c r="H17" s="91" t="str">
        <f t="shared" si="1"/>
        <v/>
      </c>
      <c r="I17" s="91" t="str">
        <f>IF(C17&gt;0,$B$6*C17/100,"")</f>
        <v/>
      </c>
      <c r="J17" s="91" t="str">
        <f>IF(B17&gt;0,I17/B17*100,"")</f>
        <v/>
      </c>
      <c r="K17" s="91" t="str">
        <f t="shared" si="2"/>
        <v/>
      </c>
      <c r="M17">
        <v>9</v>
      </c>
      <c r="O17" s="91" t="str">
        <f>D17</f>
        <v/>
      </c>
    </row>
    <row r="18" spans="1:15" ht="18" x14ac:dyDescent="0.25">
      <c r="A18" s="66" t="s">
        <v>204</v>
      </c>
      <c r="B18" s="15">
        <f>TEOR.EQ_A_G_7!J3</f>
        <v>0</v>
      </c>
      <c r="C18" s="15">
        <f>TIG.EQ_At_G_1!J3</f>
        <v>0</v>
      </c>
      <c r="D18" s="135" t="str">
        <f t="shared" si="4"/>
        <v/>
      </c>
      <c r="H18" s="91" t="str">
        <f t="shared" si="1"/>
        <v/>
      </c>
      <c r="I18" s="91" t="str">
        <f t="shared" ref="I18:I32" si="5">IF(C18&gt;0,$B$6*C18/100,"")</f>
        <v/>
      </c>
      <c r="J18" s="91" t="str">
        <f t="shared" ref="J18:J32" si="6">IF(B18&gt;0,I18/B18*100,"")</f>
        <v/>
      </c>
      <c r="K18" s="91" t="str">
        <f>IF(H18&gt;H50,(H18-I18),"")</f>
        <v/>
      </c>
      <c r="M18">
        <v>10</v>
      </c>
      <c r="O18" s="91" t="str">
        <f>D18</f>
        <v/>
      </c>
    </row>
    <row r="19" spans="1:15" ht="18" x14ac:dyDescent="0.25">
      <c r="A19" s="66" t="s">
        <v>16</v>
      </c>
      <c r="B19" s="15">
        <f>TEOR.EQ_A_G_7!K3</f>
        <v>0</v>
      </c>
      <c r="C19" s="15">
        <f>TIG.EQ_At_G_1!K3</f>
        <v>1.6000667006096232</v>
      </c>
      <c r="D19" t="str">
        <f t="shared" si="4"/>
        <v/>
      </c>
      <c r="H19" s="91" t="str">
        <f t="shared" si="1"/>
        <v/>
      </c>
      <c r="I19" s="91">
        <f t="shared" si="5"/>
        <v>16.000667006096233</v>
      </c>
      <c r="J19" s="91" t="str">
        <f t="shared" si="6"/>
        <v/>
      </c>
      <c r="K19" s="91" t="str">
        <f t="shared" si="2"/>
        <v/>
      </c>
      <c r="M19">
        <v>11</v>
      </c>
      <c r="O19" s="91" t="str">
        <f>D19</f>
        <v/>
      </c>
    </row>
    <row r="20" spans="1:15" ht="18" x14ac:dyDescent="0.25">
      <c r="A20" s="66" t="s">
        <v>12</v>
      </c>
      <c r="B20" s="15">
        <f>TEOR.EQ_A_G_7!L3</f>
        <v>0</v>
      </c>
      <c r="C20" s="15">
        <f>TIG.EQ_At_G_1!L3</f>
        <v>0</v>
      </c>
      <c r="D20" t="str">
        <f t="shared" si="4"/>
        <v/>
      </c>
      <c r="H20" s="91" t="str">
        <f t="shared" si="1"/>
        <v/>
      </c>
      <c r="I20" s="91" t="str">
        <f t="shared" si="5"/>
        <v/>
      </c>
      <c r="J20" s="91" t="str">
        <f t="shared" si="6"/>
        <v/>
      </c>
      <c r="K20" s="91" t="str">
        <f>IF(H20&gt;H52,(H20-I20),"")</f>
        <v/>
      </c>
      <c r="M20">
        <v>12</v>
      </c>
      <c r="O20" s="91" t="str">
        <f>D20</f>
        <v/>
      </c>
    </row>
    <row r="21" spans="1:15" ht="18" x14ac:dyDescent="0.25">
      <c r="A21" s="66" t="s">
        <v>44</v>
      </c>
      <c r="B21" s="15">
        <f>TEOR.EQ_A_G_7!M3</f>
        <v>0</v>
      </c>
      <c r="C21" s="15">
        <f>TIG.EQ_At_G_1!M3</f>
        <v>1.3000541942453192</v>
      </c>
      <c r="D21" t="str">
        <f t="shared" si="4"/>
        <v/>
      </c>
      <c r="H21" s="91" t="str">
        <f t="shared" si="1"/>
        <v/>
      </c>
      <c r="I21" s="91">
        <f t="shared" si="5"/>
        <v>13.000541942453191</v>
      </c>
      <c r="J21" s="91" t="str">
        <f t="shared" si="6"/>
        <v/>
      </c>
      <c r="K21" s="91" t="str">
        <f t="shared" si="2"/>
        <v/>
      </c>
      <c r="M21">
        <v>13</v>
      </c>
      <c r="O21" s="91" t="str">
        <f>D21</f>
        <v/>
      </c>
    </row>
    <row r="22" spans="1:15" ht="18" x14ac:dyDescent="0.25">
      <c r="A22" s="66" t="s">
        <v>55</v>
      </c>
      <c r="B22" s="15">
        <f>TEOR.EQ_A_G_7!N3</f>
        <v>0</v>
      </c>
      <c r="C22" s="15">
        <f>TIG.EQ_At_G_1!N3</f>
        <v>0.19000792069739278</v>
      </c>
      <c r="D22" t="str">
        <f t="shared" si="4"/>
        <v/>
      </c>
      <c r="H22" s="91" t="str">
        <f t="shared" si="1"/>
        <v/>
      </c>
      <c r="I22" s="91">
        <f t="shared" si="5"/>
        <v>1.9000792069739278</v>
      </c>
      <c r="J22" s="91" t="str">
        <f t="shared" si="6"/>
        <v/>
      </c>
      <c r="K22" s="91" t="str">
        <f>IF(H22&gt;H64,(H22-I22),"")</f>
        <v/>
      </c>
      <c r="M22">
        <v>14</v>
      </c>
    </row>
    <row r="23" spans="1:15" ht="18" x14ac:dyDescent="0.25">
      <c r="A23" s="66" t="s">
        <v>17</v>
      </c>
      <c r="B23" s="15">
        <f>TEOR.EQ_A_G_7!O3</f>
        <v>0</v>
      </c>
      <c r="C23" s="15">
        <f>TIG.EQ_At_G_1!O3</f>
        <v>0</v>
      </c>
      <c r="D23" t="str">
        <f t="shared" si="4"/>
        <v/>
      </c>
      <c r="H23" s="91" t="str">
        <f t="shared" si="1"/>
        <v/>
      </c>
      <c r="I23" s="91" t="str">
        <f t="shared" si="5"/>
        <v/>
      </c>
      <c r="J23" s="91" t="str">
        <f t="shared" si="6"/>
        <v/>
      </c>
      <c r="K23" s="91" t="str">
        <f>IF(H23&gt;H65,(H23-I23),"")</f>
        <v/>
      </c>
      <c r="M23">
        <v>15</v>
      </c>
    </row>
    <row r="24" spans="1:15" ht="18" x14ac:dyDescent="0.25">
      <c r="A24" s="66" t="s">
        <v>80</v>
      </c>
      <c r="B24" s="15">
        <f>TEOR.EQ_A_G_7!P3</f>
        <v>0</v>
      </c>
      <c r="C24" s="15">
        <f>TIG.EQ_At_G_1!P3</f>
        <v>5.2002167769812764E-2</v>
      </c>
      <c r="D24" t="str">
        <f t="shared" si="4"/>
        <v/>
      </c>
      <c r="E24" t="s">
        <v>90</v>
      </c>
      <c r="F24" s="3"/>
      <c r="G24" s="3"/>
      <c r="H24" s="91" t="str">
        <f t="shared" si="1"/>
        <v/>
      </c>
      <c r="I24" s="91">
        <f t="shared" si="5"/>
        <v>0.52002167769812768</v>
      </c>
      <c r="J24" s="91" t="str">
        <f t="shared" si="6"/>
        <v/>
      </c>
      <c r="K24" s="91" t="str">
        <f>IF(H24&gt;H66,(H24-I24),"")</f>
        <v/>
      </c>
      <c r="L24" s="3"/>
      <c r="M24">
        <v>16</v>
      </c>
    </row>
    <row r="25" spans="1:15" ht="18" x14ac:dyDescent="0.25">
      <c r="A25" s="66" t="s">
        <v>81</v>
      </c>
      <c r="B25" s="15">
        <f>TEOR.EQ_A_G_7!Q3</f>
        <v>0</v>
      </c>
      <c r="C25" s="15">
        <f>TIG.EQ_At_G_1!Q3</f>
        <v>0</v>
      </c>
      <c r="D25" t="str">
        <f t="shared" si="4"/>
        <v/>
      </c>
      <c r="F25" s="69"/>
      <c r="G25" s="69"/>
      <c r="H25" s="91" t="str">
        <f t="shared" si="1"/>
        <v/>
      </c>
      <c r="I25" s="91" t="str">
        <f t="shared" si="5"/>
        <v/>
      </c>
      <c r="J25" s="91" t="str">
        <f t="shared" si="6"/>
        <v/>
      </c>
      <c r="K25" s="91" t="str">
        <f t="shared" si="2"/>
        <v/>
      </c>
      <c r="L25" s="69"/>
      <c r="M25">
        <v>17</v>
      </c>
    </row>
    <row r="26" spans="1:15" ht="18" x14ac:dyDescent="0.25">
      <c r="A26" s="66" t="s">
        <v>82</v>
      </c>
      <c r="B26" s="15">
        <f>TEOR.EQ_A_G_7!R3</f>
        <v>0</v>
      </c>
      <c r="C26" s="15">
        <f>TIG.EQ_At_G_1!R3</f>
        <v>0</v>
      </c>
      <c r="D26" t="str">
        <f t="shared" si="4"/>
        <v/>
      </c>
      <c r="E26" t="s">
        <v>91</v>
      </c>
      <c r="F26" s="4"/>
      <c r="G26" s="4"/>
      <c r="H26" s="91" t="str">
        <f t="shared" si="1"/>
        <v/>
      </c>
      <c r="I26" s="91" t="str">
        <f t="shared" si="5"/>
        <v/>
      </c>
      <c r="J26" s="91" t="str">
        <f t="shared" si="6"/>
        <v/>
      </c>
      <c r="K26" s="91" t="str">
        <f t="shared" si="2"/>
        <v/>
      </c>
      <c r="L26" s="4"/>
      <c r="M26">
        <v>18</v>
      </c>
    </row>
    <row r="27" spans="1:15" ht="18" x14ac:dyDescent="0.25">
      <c r="A27" s="66" t="s">
        <v>83</v>
      </c>
      <c r="B27" s="15">
        <f>TEOR.EQ_A_G_7!S3</f>
        <v>0</v>
      </c>
      <c r="C27" s="15">
        <f>TIG.EQ_At_G_1!S3</f>
        <v>0</v>
      </c>
      <c r="D27" t="str">
        <f t="shared" si="4"/>
        <v/>
      </c>
      <c r="H27" s="91" t="str">
        <f t="shared" si="1"/>
        <v/>
      </c>
      <c r="I27" s="91" t="str">
        <f t="shared" si="5"/>
        <v/>
      </c>
      <c r="J27" s="91" t="str">
        <f>IF(B27&gt;0,I27/B27*100,"")</f>
        <v/>
      </c>
      <c r="K27" s="91" t="str">
        <f t="shared" si="2"/>
        <v/>
      </c>
      <c r="M27">
        <v>19</v>
      </c>
    </row>
    <row r="28" spans="1:15" ht="18" x14ac:dyDescent="0.25">
      <c r="A28" s="66" t="s">
        <v>45</v>
      </c>
      <c r="B28" s="15">
        <f>TEOR.EQ_A_G_7!T3</f>
        <v>0</v>
      </c>
      <c r="C28" s="15">
        <f>TIG.EQ_At_G_1!T3</f>
        <v>0</v>
      </c>
      <c r="D28" t="str">
        <f t="shared" si="4"/>
        <v/>
      </c>
      <c r="H28" s="91" t="str">
        <f t="shared" si="1"/>
        <v/>
      </c>
      <c r="I28" s="91" t="str">
        <f t="shared" si="5"/>
        <v/>
      </c>
      <c r="J28" s="91" t="str">
        <f t="shared" si="6"/>
        <v/>
      </c>
      <c r="K28" s="91" t="str">
        <f t="shared" si="2"/>
        <v/>
      </c>
      <c r="M28">
        <v>20</v>
      </c>
    </row>
    <row r="29" spans="1:15" ht="18" x14ac:dyDescent="0.25">
      <c r="A29" s="66" t="s">
        <v>43</v>
      </c>
      <c r="B29" s="15">
        <f>TEOR.EQ_A_G_7!U3</f>
        <v>0</v>
      </c>
      <c r="C29" s="15">
        <f>TIG.EQ_At_G_1!U3</f>
        <v>0</v>
      </c>
      <c r="D29" t="str">
        <f t="shared" si="4"/>
        <v/>
      </c>
      <c r="H29" s="91" t="str">
        <f t="shared" si="1"/>
        <v/>
      </c>
      <c r="I29" s="91" t="str">
        <f t="shared" si="5"/>
        <v/>
      </c>
      <c r="J29" s="91" t="str">
        <f t="shared" si="6"/>
        <v/>
      </c>
      <c r="K29" s="91" t="str">
        <f t="shared" si="2"/>
        <v/>
      </c>
      <c r="M29">
        <v>21</v>
      </c>
    </row>
    <row r="30" spans="1:15" ht="18" x14ac:dyDescent="0.25">
      <c r="A30" s="66" t="s">
        <v>13</v>
      </c>
      <c r="B30" s="15">
        <f>TEOR.EQ_A_G_7!V3</f>
        <v>0</v>
      </c>
      <c r="C30" s="15">
        <f>TIG.EQ_At_G_1!V3</f>
        <v>0</v>
      </c>
      <c r="D30" t="str">
        <f t="shared" si="4"/>
        <v/>
      </c>
      <c r="H30" s="91" t="str">
        <f t="shared" si="1"/>
        <v/>
      </c>
      <c r="I30" s="91" t="str">
        <f t="shared" si="5"/>
        <v/>
      </c>
      <c r="J30" s="91" t="str">
        <f t="shared" si="6"/>
        <v/>
      </c>
      <c r="K30" s="91" t="str">
        <f t="shared" si="2"/>
        <v/>
      </c>
      <c r="M30">
        <v>22</v>
      </c>
    </row>
    <row r="31" spans="1:15" ht="18" x14ac:dyDescent="0.25">
      <c r="A31" s="66" t="s">
        <v>0</v>
      </c>
      <c r="B31" s="15">
        <f>TEOR.EQ_A_G_7!W3</f>
        <v>0</v>
      </c>
      <c r="C31" s="15">
        <f>TIG.EQ_At_G_1!W3</f>
        <v>0</v>
      </c>
      <c r="D31" t="str">
        <f t="shared" si="4"/>
        <v/>
      </c>
      <c r="H31" s="91" t="str">
        <f t="shared" si="1"/>
        <v/>
      </c>
      <c r="I31" s="91" t="str">
        <f t="shared" si="5"/>
        <v/>
      </c>
      <c r="J31" s="91" t="str">
        <f t="shared" si="6"/>
        <v/>
      </c>
      <c r="K31" s="91" t="str">
        <f t="shared" si="2"/>
        <v/>
      </c>
      <c r="M31">
        <v>23</v>
      </c>
    </row>
    <row r="32" spans="1:15" ht="18" x14ac:dyDescent="0.25">
      <c r="A32" s="66" t="s">
        <v>11</v>
      </c>
      <c r="B32" s="15">
        <f>TEOR.EQ_A_G_7!X3</f>
        <v>0</v>
      </c>
      <c r="C32" s="15">
        <f>TIG.EQ_At_G_1!X3</f>
        <v>0</v>
      </c>
      <c r="D32" t="str">
        <f t="shared" si="4"/>
        <v/>
      </c>
      <c r="H32" s="91" t="str">
        <f t="shared" si="1"/>
        <v/>
      </c>
      <c r="I32" s="91" t="str">
        <f t="shared" si="5"/>
        <v/>
      </c>
      <c r="J32" s="91" t="str">
        <f t="shared" si="6"/>
        <v/>
      </c>
      <c r="K32" s="91" t="str">
        <f>IF(H32&gt;H64,(H32-I32),"")</f>
        <v/>
      </c>
      <c r="M32">
        <v>24</v>
      </c>
    </row>
    <row r="33" spans="1:26" ht="18" x14ac:dyDescent="0.25">
      <c r="A33" s="66" t="s">
        <v>10</v>
      </c>
      <c r="B33" s="15">
        <f>TEOR.EQ_A_G_7!Y3</f>
        <v>0</v>
      </c>
      <c r="C33" s="15">
        <f>TIG.EQ_At_G_1!Y3</f>
        <v>0</v>
      </c>
      <c r="D33" t="e">
        <f>IF(K34&gt;0,K34,"")</f>
        <v>#DIV/0!</v>
      </c>
      <c r="E33" s="17" t="e">
        <f>D15-F33</f>
        <v>#VALUE!</v>
      </c>
      <c r="F33" s="17" t="e">
        <f>(F14-D14)+(F13-D13)</f>
        <v>#VALUE!</v>
      </c>
      <c r="G33" s="90" t="s">
        <v>30</v>
      </c>
      <c r="H33" s="91" t="e">
        <f>SUM(H9:H32)</f>
        <v>#DIV/0!</v>
      </c>
      <c r="I33" s="91">
        <f>SUM(I9:I32)</f>
        <v>1000</v>
      </c>
      <c r="J33" s="91" t="e">
        <f>MAX(J9:J32)</f>
        <v>#DIV/0!</v>
      </c>
      <c r="K33" s="91" t="e">
        <f>IF(H33&gt;H65,(H33-I33),"")</f>
        <v>#DIV/0!</v>
      </c>
      <c r="M33">
        <v>25</v>
      </c>
    </row>
    <row r="34" spans="1:26" x14ac:dyDescent="0.25">
      <c r="B34" s="14">
        <f>SUM(B9:B33)</f>
        <v>100</v>
      </c>
      <c r="C34" s="14">
        <f>SUM(C9:C32)</f>
        <v>100.00000000000001</v>
      </c>
      <c r="D34" s="18" t="e">
        <f>SUM(D10:D33)</f>
        <v>#DIV/0!</v>
      </c>
      <c r="G34" s="337" t="s">
        <v>31</v>
      </c>
      <c r="H34" s="338"/>
      <c r="I34" s="91"/>
      <c r="J34" s="91" t="e">
        <f>IF(B6&gt;0,B6+D33,"")</f>
        <v>#DIV/0!</v>
      </c>
      <c r="K34" s="91" t="e">
        <f>SUM(K9:K32)</f>
        <v>#DIV/0!</v>
      </c>
    </row>
    <row r="35" spans="1:26" ht="18" x14ac:dyDescent="0.25">
      <c r="A35">
        <f>'OK OK'!A3</f>
        <v>0</v>
      </c>
      <c r="B35" s="210" t="s">
        <v>14</v>
      </c>
      <c r="C35" s="210" t="s">
        <v>15</v>
      </c>
      <c r="D35" s="210" t="s">
        <v>8</v>
      </c>
      <c r="E35" s="210" t="s">
        <v>9</v>
      </c>
      <c r="F35" s="210" t="s">
        <v>234</v>
      </c>
      <c r="G35" s="210" t="s">
        <v>56</v>
      </c>
      <c r="H35" s="210" t="s">
        <v>57</v>
      </c>
      <c r="I35" s="210" t="s">
        <v>58</v>
      </c>
      <c r="J35" s="210" t="s">
        <v>77</v>
      </c>
      <c r="K35" s="210" t="s">
        <v>204</v>
      </c>
      <c r="L35" s="210" t="s">
        <v>16</v>
      </c>
      <c r="M35" s="210" t="s">
        <v>12</v>
      </c>
      <c r="N35" s="210" t="s">
        <v>44</v>
      </c>
      <c r="O35" s="210" t="s">
        <v>55</v>
      </c>
      <c r="P35" s="210" t="s">
        <v>17</v>
      </c>
      <c r="Q35" s="210" t="s">
        <v>80</v>
      </c>
      <c r="R35" s="210" t="s">
        <v>81</v>
      </c>
      <c r="S35" s="210" t="s">
        <v>82</v>
      </c>
      <c r="T35" s="210" t="s">
        <v>83</v>
      </c>
      <c r="U35" s="210" t="s">
        <v>45</v>
      </c>
      <c r="V35" s="210" t="s">
        <v>43</v>
      </c>
      <c r="W35" s="210" t="s">
        <v>13</v>
      </c>
      <c r="X35" s="210" t="s">
        <v>0</v>
      </c>
      <c r="Y35" s="210" t="s">
        <v>11</v>
      </c>
      <c r="Z35" s="210" t="s">
        <v>10</v>
      </c>
    </row>
    <row r="36" spans="1:26" x14ac:dyDescent="0.25">
      <c r="A36" s="124" t="str">
        <f>'OK OK'!A4</f>
        <v>Composition in the crucible</v>
      </c>
      <c r="B36">
        <f>'OK OK'!B4</f>
        <v>94.328499999999991</v>
      </c>
      <c r="C36">
        <f>'OK OK'!C4</f>
        <v>0.89</v>
      </c>
      <c r="D36">
        <f>'OK OK'!D4</f>
        <v>1.43</v>
      </c>
      <c r="E36">
        <f>'OK OK'!E4</f>
        <v>0</v>
      </c>
      <c r="F36">
        <f>'OK OK'!F4</f>
        <v>0</v>
      </c>
      <c r="G36">
        <f>'OK OK'!G4</f>
        <v>0.2</v>
      </c>
      <c r="H36">
        <f>'OK OK'!H4</f>
        <v>5.0000000000000001E-3</v>
      </c>
      <c r="I36">
        <f>'OK OK'!I4</f>
        <v>1E-3</v>
      </c>
      <c r="J36">
        <f>'OK OK'!J4</f>
        <v>1E-3</v>
      </c>
      <c r="K36">
        <f>'OK OK'!K4</f>
        <v>1.5E-3</v>
      </c>
      <c r="L36">
        <f>'OK OK'!L4</f>
        <v>1.6</v>
      </c>
      <c r="M36">
        <f>'OK OK'!M4</f>
        <v>1E-3</v>
      </c>
      <c r="N36">
        <f>'OK OK'!N4</f>
        <v>1.3</v>
      </c>
      <c r="O36">
        <f>'OK OK'!O4</f>
        <v>0.19</v>
      </c>
      <c r="P36">
        <f>'OK OK'!P4</f>
        <v>0</v>
      </c>
      <c r="Q36">
        <f>'OK OK'!Q4</f>
        <v>5.1999999999999998E-2</v>
      </c>
      <c r="R36">
        <f>'OK OK'!R4</f>
        <v>0</v>
      </c>
      <c r="S36">
        <f>'OK OK'!S4</f>
        <v>0</v>
      </c>
      <c r="T36">
        <f>'OK OK'!T4</f>
        <v>0</v>
      </c>
      <c r="U36">
        <f>'OK OK'!U4</f>
        <v>0</v>
      </c>
      <c r="V36">
        <f>'OK OK'!V4</f>
        <v>0</v>
      </c>
      <c r="W36">
        <f>'OK OK'!W4</f>
        <v>0</v>
      </c>
      <c r="X36">
        <f>'OK OK'!X4</f>
        <v>0</v>
      </c>
      <c r="Y36">
        <f>'OK OK'!Y4</f>
        <v>0</v>
      </c>
      <c r="Z36">
        <f>'OK OK'!Z4</f>
        <v>0</v>
      </c>
    </row>
    <row r="37" spans="1:26" x14ac:dyDescent="0.25">
      <c r="A37" s="96" t="s">
        <v>165</v>
      </c>
      <c r="B37" t="e">
        <f>100-C37-D37-E37-F37-G37-H37-I37-J37-K37-L37-M37-N37-O37-P37-Q37-R37-S37-T37-U37-V37-W37-X37-Y37-Z37</f>
        <v>#DIV/0!</v>
      </c>
      <c r="C37" t="e">
        <f>C36/G6</f>
        <v>#DIV/0!</v>
      </c>
      <c r="D37" t="e">
        <f>D36/G6</f>
        <v>#DIV/0!</v>
      </c>
      <c r="E37" t="e">
        <f>E36/G6</f>
        <v>#DIV/0!</v>
      </c>
      <c r="F37" t="e">
        <f>F36/G6</f>
        <v>#DIV/0!</v>
      </c>
      <c r="G37" t="e">
        <f>G36/G6</f>
        <v>#DIV/0!</v>
      </c>
      <c r="H37" t="e">
        <f>H36/G6</f>
        <v>#DIV/0!</v>
      </c>
      <c r="I37" t="e">
        <f>I36/G6</f>
        <v>#DIV/0!</v>
      </c>
      <c r="J37" t="e">
        <f>J36/G6</f>
        <v>#DIV/0!</v>
      </c>
      <c r="K37" t="e">
        <f>K36/G6</f>
        <v>#DIV/0!</v>
      </c>
      <c r="L37" t="e">
        <f>L36/G6</f>
        <v>#DIV/0!</v>
      </c>
      <c r="M37" t="e">
        <f>M36/G6</f>
        <v>#DIV/0!</v>
      </c>
      <c r="N37" t="e">
        <f>N36/G6</f>
        <v>#DIV/0!</v>
      </c>
      <c r="O37" t="e">
        <f>O36/G6</f>
        <v>#DIV/0!</v>
      </c>
      <c r="P37" t="e">
        <f>P36/G6</f>
        <v>#DIV/0!</v>
      </c>
      <c r="Q37" t="e">
        <f>Q36/G6</f>
        <v>#DIV/0!</v>
      </c>
      <c r="R37" t="e">
        <f>R36/G6</f>
        <v>#DIV/0!</v>
      </c>
      <c r="S37" t="e">
        <f>S36/G6</f>
        <v>#DIV/0!</v>
      </c>
      <c r="T37" t="e">
        <f>T36/G6</f>
        <v>#DIV/0!</v>
      </c>
      <c r="U37" t="e">
        <f>U36/G6</f>
        <v>#DIV/0!</v>
      </c>
      <c r="V37" t="e">
        <f>V36/G6</f>
        <v>#DIV/0!</v>
      </c>
      <c r="W37" t="e">
        <f>W36/G6</f>
        <v>#DIV/0!</v>
      </c>
      <c r="X37" t="e">
        <f>X36/G6</f>
        <v>#DIV/0!</v>
      </c>
      <c r="Y37" t="e">
        <f>Y36/G6</f>
        <v>#DIV/0!</v>
      </c>
      <c r="Z37" t="e">
        <f>Z36/G6</f>
        <v>#DIV/0!</v>
      </c>
    </row>
    <row r="54" spans="1:51" ht="18.75" x14ac:dyDescent="0.3">
      <c r="B54" s="210" t="s">
        <v>14</v>
      </c>
      <c r="C54" s="210" t="s">
        <v>15</v>
      </c>
      <c r="D54" s="210" t="s">
        <v>8</v>
      </c>
      <c r="E54" s="210" t="s">
        <v>9</v>
      </c>
      <c r="F54" s="210" t="s">
        <v>234</v>
      </c>
      <c r="G54" s="210" t="s">
        <v>56</v>
      </c>
      <c r="H54" s="210" t="s">
        <v>57</v>
      </c>
      <c r="I54" s="210" t="s">
        <v>58</v>
      </c>
      <c r="J54" s="210" t="s">
        <v>77</v>
      </c>
      <c r="K54" s="210" t="s">
        <v>204</v>
      </c>
      <c r="L54" s="210" t="s">
        <v>16</v>
      </c>
      <c r="M54" s="210" t="s">
        <v>12</v>
      </c>
      <c r="N54" s="210" t="s">
        <v>44</v>
      </c>
      <c r="O54" s="210" t="s">
        <v>55</v>
      </c>
      <c r="P54" s="210" t="s">
        <v>17</v>
      </c>
      <c r="Q54" s="210" t="s">
        <v>80</v>
      </c>
      <c r="R54" s="210" t="s">
        <v>81</v>
      </c>
      <c r="S54" s="210" t="s">
        <v>82</v>
      </c>
      <c r="T54" s="210" t="s">
        <v>83</v>
      </c>
      <c r="U54" s="210" t="s">
        <v>45</v>
      </c>
      <c r="V54" s="210" t="s">
        <v>43</v>
      </c>
      <c r="W54" s="210" t="s">
        <v>13</v>
      </c>
      <c r="X54" s="210" t="s">
        <v>0</v>
      </c>
      <c r="Y54" s="210" t="s">
        <v>11</v>
      </c>
      <c r="Z54" s="210" t="s">
        <v>10</v>
      </c>
      <c r="AA54" s="211" t="s">
        <v>14</v>
      </c>
      <c r="AB54" s="212" t="s">
        <v>15</v>
      </c>
      <c r="AC54" s="213" t="s">
        <v>8</v>
      </c>
      <c r="AD54" s="214" t="s">
        <v>9</v>
      </c>
      <c r="AE54" s="213" t="s">
        <v>234</v>
      </c>
      <c r="AF54" s="213" t="s">
        <v>56</v>
      </c>
      <c r="AG54" s="214" t="s">
        <v>57</v>
      </c>
      <c r="AH54" s="213" t="s">
        <v>58</v>
      </c>
      <c r="AI54" s="215" t="s">
        <v>77</v>
      </c>
      <c r="AJ54" s="216" t="s">
        <v>204</v>
      </c>
      <c r="AK54" s="216" t="s">
        <v>16</v>
      </c>
      <c r="AL54" s="210" t="s">
        <v>13</v>
      </c>
      <c r="AM54" s="215" t="s">
        <v>44</v>
      </c>
      <c r="AN54" s="216" t="s">
        <v>55</v>
      </c>
      <c r="AO54" s="210" t="s">
        <v>17</v>
      </c>
      <c r="AP54" s="210" t="s">
        <v>80</v>
      </c>
      <c r="AQ54" s="210" t="s">
        <v>81</v>
      </c>
      <c r="AR54" s="210" t="s">
        <v>82</v>
      </c>
      <c r="AS54" s="210" t="s">
        <v>83</v>
      </c>
      <c r="AT54" s="210" t="s">
        <v>45</v>
      </c>
      <c r="AU54" s="210" t="s">
        <v>43</v>
      </c>
      <c r="AV54" s="210" t="s">
        <v>12</v>
      </c>
      <c r="AW54" s="210" t="s">
        <v>0</v>
      </c>
      <c r="AX54" s="210" t="s">
        <v>11</v>
      </c>
      <c r="AY54" s="210" t="s">
        <v>10</v>
      </c>
    </row>
    <row r="55" spans="1:51" ht="18.75" x14ac:dyDescent="0.3">
      <c r="B55" s="36" t="e">
        <f>100-C55-D55-E55-F55-G55-H55-I55-J55-K55-L55-M55-N55-O55-P55-Q55-R55-S55-T55-U55-V55-W55-X55-Y55-Z55</f>
        <v>#DIV/0!</v>
      </c>
      <c r="C55" s="37" t="e">
        <f>C37</f>
        <v>#DIV/0!</v>
      </c>
      <c r="D55" s="37" t="e">
        <f t="shared" ref="D55:Z55" si="7">D37</f>
        <v>#DIV/0!</v>
      </c>
      <c r="E55" s="37" t="e">
        <f t="shared" si="7"/>
        <v>#DIV/0!</v>
      </c>
      <c r="F55" s="37" t="e">
        <f t="shared" si="7"/>
        <v>#DIV/0!</v>
      </c>
      <c r="G55" s="37" t="e">
        <f t="shared" si="7"/>
        <v>#DIV/0!</v>
      </c>
      <c r="H55" s="37" t="e">
        <f t="shared" si="7"/>
        <v>#DIV/0!</v>
      </c>
      <c r="I55" s="37" t="e">
        <f t="shared" si="7"/>
        <v>#DIV/0!</v>
      </c>
      <c r="J55" s="37" t="e">
        <f t="shared" si="7"/>
        <v>#DIV/0!</v>
      </c>
      <c r="K55" s="37" t="e">
        <f t="shared" si="7"/>
        <v>#DIV/0!</v>
      </c>
      <c r="L55" s="37" t="e">
        <f t="shared" si="7"/>
        <v>#DIV/0!</v>
      </c>
      <c r="M55" s="37" t="e">
        <f t="shared" si="7"/>
        <v>#DIV/0!</v>
      </c>
      <c r="N55" s="37" t="e">
        <f t="shared" si="7"/>
        <v>#DIV/0!</v>
      </c>
      <c r="O55" s="37" t="e">
        <f t="shared" si="7"/>
        <v>#DIV/0!</v>
      </c>
      <c r="P55" s="37" t="e">
        <f t="shared" si="7"/>
        <v>#DIV/0!</v>
      </c>
      <c r="Q55" s="37" t="e">
        <f t="shared" si="7"/>
        <v>#DIV/0!</v>
      </c>
      <c r="R55" s="37" t="e">
        <f t="shared" si="7"/>
        <v>#DIV/0!</v>
      </c>
      <c r="S55" s="37" t="e">
        <f t="shared" si="7"/>
        <v>#DIV/0!</v>
      </c>
      <c r="T55" s="37" t="e">
        <f t="shared" si="7"/>
        <v>#DIV/0!</v>
      </c>
      <c r="U55" s="37" t="e">
        <f t="shared" si="7"/>
        <v>#DIV/0!</v>
      </c>
      <c r="V55" s="37" t="e">
        <f t="shared" si="7"/>
        <v>#DIV/0!</v>
      </c>
      <c r="W55" s="37" t="e">
        <f t="shared" si="7"/>
        <v>#DIV/0!</v>
      </c>
      <c r="X55" s="37" t="e">
        <f t="shared" si="7"/>
        <v>#DIV/0!</v>
      </c>
      <c r="Y55" s="37" t="e">
        <f t="shared" si="7"/>
        <v>#DIV/0!</v>
      </c>
      <c r="Z55" s="37" t="e">
        <f t="shared" si="7"/>
        <v>#DIV/0!</v>
      </c>
      <c r="AA55" s="219">
        <v>55.84</v>
      </c>
      <c r="AB55" s="219">
        <v>28.0855</v>
      </c>
      <c r="AC55" s="219">
        <v>58.693399999999997</v>
      </c>
      <c r="AD55" s="219">
        <v>63.545999999999999</v>
      </c>
      <c r="AE55" s="219">
        <v>65.38</v>
      </c>
      <c r="AF55" s="219">
        <v>12.01</v>
      </c>
      <c r="AG55" s="219">
        <v>30.973762000000001</v>
      </c>
      <c r="AH55" s="219">
        <v>32.064999999999998</v>
      </c>
      <c r="AI55" s="219">
        <v>14.0067</v>
      </c>
      <c r="AJ55" s="219">
        <v>10.81</v>
      </c>
      <c r="AK55" s="219">
        <v>54.938043999999998</v>
      </c>
      <c r="AL55" s="219">
        <v>24.305</v>
      </c>
      <c r="AM55" s="219">
        <v>51.996099999999998</v>
      </c>
      <c r="AN55" s="219">
        <v>95.95</v>
      </c>
      <c r="AO55" s="220">
        <v>47.866999999999997</v>
      </c>
      <c r="AP55" s="220">
        <v>50.941499999999998</v>
      </c>
      <c r="AQ55" s="220">
        <v>92.906369999999995</v>
      </c>
      <c r="AR55" s="220">
        <v>183.84</v>
      </c>
      <c r="AS55" s="220">
        <v>180.94788</v>
      </c>
      <c r="AT55" s="220">
        <v>91.224000000000004</v>
      </c>
      <c r="AU55" s="220">
        <v>58.933194999999998</v>
      </c>
      <c r="AV55" s="220">
        <v>26.981539999999999</v>
      </c>
      <c r="AW55" s="219">
        <v>121.76</v>
      </c>
      <c r="AX55" s="219">
        <v>207.2</v>
      </c>
      <c r="AY55" s="219">
        <v>118.71</v>
      </c>
    </row>
    <row r="56" spans="1:51" ht="18.75" x14ac:dyDescent="0.3">
      <c r="A56" s="96" t="s">
        <v>166</v>
      </c>
      <c r="B56" s="36" t="e">
        <f>100*((((B55)/(AA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C56" s="36" t="e">
        <f>100*((((C55)/(AB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D56" s="36" t="e">
        <f>100*((((D55)/(AC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E56" s="36" t="e">
        <f>100*((((E55)/(AD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F56" s="36" t="e">
        <f>100*((((F55)/(AE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G56" s="36" t="e">
        <f>100*((((G55)/(AF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H56" s="36" t="e">
        <f>100*((((H55)/(AG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I56" s="36" t="e">
        <f>100*((((I55)/(AH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J56" s="36" t="e">
        <f>100*((((J55)/(AI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K56" s="36" t="e">
        <f>100*((((K55)/(AJ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L56" s="36" t="e">
        <f>100*((((L55)/(AK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M56" s="36" t="e">
        <f>100*((((M55)/(AL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N56" s="36" t="e">
        <f>100*((((N55)/(AM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O56" s="36" t="e">
        <f>100*((((O55)/(AN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P56" s="36" t="e">
        <f>100*((((P55)/(AO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Q56" s="36" t="e">
        <f>100*((((Q55)/(AP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R56" s="36" t="e">
        <f>100*((((R55)/(AQ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S56" s="36" t="e">
        <f>100*((((S55)/(AR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T56" s="36" t="e">
        <f>100*((((T55)/(AS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U56" s="36" t="e">
        <f>100*((((U55)/(AT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V56" s="36" t="e">
        <f>100*((((V55)/(AU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W56" s="36" t="e">
        <f>100*((((W55)/(AV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X56" s="7" t="e">
        <f>100*((((X55)/(AW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Y56" s="7" t="e">
        <f>100*((((Y55)/(AX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Z56" s="7" t="e">
        <f>100*((((Z55)/(AY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</sheetData>
  <mergeCells count="1">
    <mergeCell ref="G34:H34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99656-7DE8-410F-8BAA-A6B8B4781CBD}">
  <dimension ref="A1:AY56"/>
  <sheetViews>
    <sheetView topLeftCell="E22" zoomScale="89" zoomScaleNormal="89" workbookViewId="0">
      <selection activeCell="AA54" sqref="AA54:AY55"/>
    </sheetView>
  </sheetViews>
  <sheetFormatPr baseColWidth="10" defaultRowHeight="15" x14ac:dyDescent="0.25"/>
  <cols>
    <col min="1" max="1" width="15.85546875" customWidth="1"/>
    <col min="4" max="4" width="13.5703125" customWidth="1"/>
    <col min="5" max="5" width="12.5703125" customWidth="1"/>
    <col min="6" max="6" width="13.5703125" customWidth="1"/>
  </cols>
  <sheetData>
    <row r="1" spans="1:51" ht="18.75" x14ac:dyDescent="0.3">
      <c r="A1" s="210" t="s">
        <v>14</v>
      </c>
      <c r="B1" s="210" t="s">
        <v>15</v>
      </c>
      <c r="C1" s="210" t="s">
        <v>8</v>
      </c>
      <c r="D1" s="210" t="s">
        <v>9</v>
      </c>
      <c r="E1" s="210" t="s">
        <v>234</v>
      </c>
      <c r="F1" s="210" t="s">
        <v>56</v>
      </c>
      <c r="G1" s="210" t="s">
        <v>57</v>
      </c>
      <c r="H1" s="210" t="s">
        <v>58</v>
      </c>
      <c r="I1" s="210" t="s">
        <v>77</v>
      </c>
      <c r="J1" s="210" t="s">
        <v>204</v>
      </c>
      <c r="K1" s="210" t="s">
        <v>16</v>
      </c>
      <c r="L1" s="210" t="s">
        <v>12</v>
      </c>
      <c r="M1" s="210" t="s">
        <v>44</v>
      </c>
      <c r="N1" s="210" t="s">
        <v>55</v>
      </c>
      <c r="O1" s="210" t="s">
        <v>17</v>
      </c>
      <c r="P1" s="210" t="s">
        <v>80</v>
      </c>
      <c r="Q1" s="210" t="s">
        <v>81</v>
      </c>
      <c r="R1" s="210" t="s">
        <v>82</v>
      </c>
      <c r="S1" s="210" t="s">
        <v>83</v>
      </c>
      <c r="T1" s="210" t="s">
        <v>45</v>
      </c>
      <c r="U1" s="210" t="s">
        <v>43</v>
      </c>
      <c r="V1" s="210" t="s">
        <v>13</v>
      </c>
      <c r="W1" s="210" t="s">
        <v>0</v>
      </c>
      <c r="X1" s="210" t="s">
        <v>11</v>
      </c>
      <c r="Y1" s="210" t="s">
        <v>10</v>
      </c>
      <c r="Z1" s="211" t="s">
        <v>14</v>
      </c>
      <c r="AA1" s="212" t="s">
        <v>15</v>
      </c>
      <c r="AB1" s="213" t="s">
        <v>8</v>
      </c>
      <c r="AC1" s="214" t="s">
        <v>9</v>
      </c>
      <c r="AD1" s="213" t="s">
        <v>234</v>
      </c>
      <c r="AE1" s="213" t="s">
        <v>56</v>
      </c>
      <c r="AF1" s="214" t="s">
        <v>57</v>
      </c>
      <c r="AG1" s="213" t="s">
        <v>58</v>
      </c>
      <c r="AH1" s="215" t="s">
        <v>77</v>
      </c>
      <c r="AI1" s="216" t="s">
        <v>204</v>
      </c>
      <c r="AJ1" s="216" t="s">
        <v>16</v>
      </c>
      <c r="AK1" s="210" t="s">
        <v>13</v>
      </c>
      <c r="AL1" s="215" t="s">
        <v>44</v>
      </c>
      <c r="AM1" s="216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12</v>
      </c>
      <c r="AV1" s="210" t="s">
        <v>0</v>
      </c>
      <c r="AW1" s="210" t="s">
        <v>11</v>
      </c>
      <c r="AX1" s="210" t="s">
        <v>10</v>
      </c>
      <c r="AY1" s="35"/>
    </row>
    <row r="2" spans="1:51" ht="18.75" x14ac:dyDescent="0.3">
      <c r="A2" s="36">
        <f>100-B2-C2-D2-E2-F2-G2-H2-I2-J2-K2-L2-M2-N2-O2-P2-Q2-R2-S2-T2-U2-V2-W2-X2-Y2</f>
        <v>94.328499999999991</v>
      </c>
      <c r="B2" s="37">
        <f>'OK OK'!C4</f>
        <v>0.89</v>
      </c>
      <c r="C2" s="37">
        <f>'OK OK'!D4</f>
        <v>1.43</v>
      </c>
      <c r="D2" s="37">
        <f>'OK OK'!E4</f>
        <v>0</v>
      </c>
      <c r="E2" s="37">
        <f>'OK OK'!F4</f>
        <v>0</v>
      </c>
      <c r="F2" s="37">
        <f>'OK OK'!G4</f>
        <v>0.2</v>
      </c>
      <c r="G2" s="37">
        <f>'OK OK'!H4</f>
        <v>5.0000000000000001E-3</v>
      </c>
      <c r="H2" s="37">
        <f>'OK OK'!I4</f>
        <v>1E-3</v>
      </c>
      <c r="I2" s="37">
        <f>'OK OK'!J4</f>
        <v>1E-3</v>
      </c>
      <c r="J2" s="37">
        <f>'OK OK'!K4</f>
        <v>1.5E-3</v>
      </c>
      <c r="K2" s="37">
        <f>'OK OK'!L4</f>
        <v>1.6</v>
      </c>
      <c r="L2" s="37">
        <f>'OK OK'!M4</f>
        <v>1E-3</v>
      </c>
      <c r="M2" s="37">
        <f>'OK OK'!N4</f>
        <v>1.3</v>
      </c>
      <c r="N2" s="37">
        <f>'OK OK'!O4</f>
        <v>0.19</v>
      </c>
      <c r="O2" s="37">
        <f>'OK OK'!P4</f>
        <v>0</v>
      </c>
      <c r="P2" s="37">
        <f>'OK OK'!Q4</f>
        <v>5.1999999999999998E-2</v>
      </c>
      <c r="Q2" s="37">
        <f>'OK OK'!R4</f>
        <v>0</v>
      </c>
      <c r="R2" s="37">
        <f>'OK OK'!S4</f>
        <v>0</v>
      </c>
      <c r="S2" s="37">
        <f>'OK OK'!T4</f>
        <v>0</v>
      </c>
      <c r="T2" s="37">
        <f>'OK OK'!U4</f>
        <v>0</v>
      </c>
      <c r="U2" s="37">
        <f>'OK OK'!V4</f>
        <v>0</v>
      </c>
      <c r="V2" s="37">
        <f>'OK OK'!W4</f>
        <v>0</v>
      </c>
      <c r="W2" s="37">
        <f>'OK OK'!X4</f>
        <v>0</v>
      </c>
      <c r="X2" s="37">
        <f>'OK OK'!Y4</f>
        <v>0</v>
      </c>
      <c r="Y2" s="37">
        <f>'OK OK'!Z4</f>
        <v>0</v>
      </c>
      <c r="Z2" s="219">
        <v>55.84</v>
      </c>
      <c r="AA2" s="219">
        <v>28.0855</v>
      </c>
      <c r="AB2" s="219">
        <v>58.693399999999997</v>
      </c>
      <c r="AC2" s="219">
        <v>63.545999999999999</v>
      </c>
      <c r="AD2" s="219">
        <v>65.38</v>
      </c>
      <c r="AE2" s="219">
        <v>12.01</v>
      </c>
      <c r="AF2" s="219">
        <v>30.973762000000001</v>
      </c>
      <c r="AG2" s="219">
        <v>32.064999999999998</v>
      </c>
      <c r="AH2" s="219">
        <v>14.0067</v>
      </c>
      <c r="AI2" s="219">
        <v>10.81</v>
      </c>
      <c r="AJ2" s="219">
        <v>54.938043999999998</v>
      </c>
      <c r="AK2" s="219">
        <v>24.305</v>
      </c>
      <c r="AL2" s="219">
        <v>51.996099999999998</v>
      </c>
      <c r="AM2" s="219">
        <v>95.95</v>
      </c>
      <c r="AN2" s="220">
        <v>47.866999999999997</v>
      </c>
      <c r="AO2" s="220">
        <v>50.941499999999998</v>
      </c>
      <c r="AP2" s="220">
        <v>92.906369999999995</v>
      </c>
      <c r="AQ2" s="220">
        <v>183.84</v>
      </c>
      <c r="AR2" s="220">
        <v>180.94788</v>
      </c>
      <c r="AS2" s="220">
        <v>91.224000000000004</v>
      </c>
      <c r="AT2" s="220">
        <v>58.933194999999998</v>
      </c>
      <c r="AU2" s="220">
        <v>26.981539999999999</v>
      </c>
      <c r="AV2" s="219">
        <v>121.76</v>
      </c>
      <c r="AW2" s="219">
        <v>207.2</v>
      </c>
      <c r="AX2" s="219">
        <v>118.71</v>
      </c>
      <c r="AY2" s="7"/>
    </row>
    <row r="3" spans="1:51" ht="18.75" x14ac:dyDescent="0.3">
      <c r="A3" s="36">
        <f>100*((((A2)/(Z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92.840162287943627</v>
      </c>
      <c r="B3" s="36">
        <f>100*((((B2)/(AA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1.741591189035695</v>
      </c>
      <c r="C3" s="36">
        <f>100*((((C2)/(AB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1.3390140731654472</v>
      </c>
      <c r="D3" s="36">
        <f>100*((((D2)/(AC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E3" s="36">
        <f>100*((((E2)/(AD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F3" s="36">
        <f>100*((((F2)/(AE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0.91521970155323784</v>
      </c>
      <c r="G3" s="36">
        <f>100*((((G2)/(AF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8.8718546811123438E-3</v>
      </c>
      <c r="H3" s="36">
        <f>100*((((H2)/(AG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1.7139854382745025E-3</v>
      </c>
      <c r="I3" s="36">
        <f>100*((((I2)/(AH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3.9237609914021089E-3</v>
      </c>
      <c r="J3" s="36">
        <f>100*((((J2)/(AI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7.6261253115085933E-3</v>
      </c>
      <c r="K3" s="36">
        <f>100*((((K2)/(AJ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1.6006086588236572</v>
      </c>
      <c r="L3" s="36">
        <f>100*((((L2)/(AK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2.2612196288118464E-3</v>
      </c>
      <c r="M3" s="36">
        <f>100*((((M2)/(AL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1.3740766327042508</v>
      </c>
      <c r="N3" s="36">
        <f>100*((((N2)/(AM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0.10882959025400381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P3" s="36">
        <f>100*((((P2)/(AO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5.6100920468972061E-2</v>
      </c>
      <c r="Q3" s="36">
        <f>100*((((Q2)/(AP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R3" s="36">
        <f>100*((((R2)/(AQ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S3" s="36">
        <f>100*((((S2)/(AR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T3" s="36">
        <f>100*((((T2)/(AS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U3" s="36">
        <f>100*((((U2)/(AT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V3" s="36">
        <f>100*((((V2)/(AU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W3" s="7">
        <f>100*((((W2)/(AV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X3" s="7">
        <f>100*((((X2)/(AW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Y3" s="7">
        <f>100*((((Y2)/(AX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51" ht="15.75" x14ac:dyDescent="0.25">
      <c r="A4" s="8" t="s">
        <v>18</v>
      </c>
      <c r="B4" s="9">
        <v>111</v>
      </c>
    </row>
    <row r="5" spans="1:51" ht="15.75" x14ac:dyDescent="0.25">
      <c r="A5" s="8" t="s">
        <v>19</v>
      </c>
      <c r="B5" s="9" t="s">
        <v>79</v>
      </c>
      <c r="C5" s="10"/>
    </row>
    <row r="6" spans="1:51" ht="15.75" x14ac:dyDescent="0.25">
      <c r="A6" s="8" t="s">
        <v>20</v>
      </c>
      <c r="B6" s="9">
        <f>'OK OK'!B13</f>
        <v>1000</v>
      </c>
      <c r="D6" s="8" t="s">
        <v>21</v>
      </c>
      <c r="E6" s="11" t="e">
        <f>IF(J33&gt;1,J33,"")</f>
        <v>#DIV/0!</v>
      </c>
      <c r="F6" s="12" t="s">
        <v>22</v>
      </c>
      <c r="G6" t="e">
        <f>E6/B6</f>
        <v>#DIV/0!</v>
      </c>
    </row>
    <row r="7" spans="1:51" ht="15.75" x14ac:dyDescent="0.25">
      <c r="A7" s="3"/>
      <c r="B7" t="s">
        <v>50</v>
      </c>
      <c r="C7" t="s">
        <v>51</v>
      </c>
    </row>
    <row r="8" spans="1:51" ht="18.75" x14ac:dyDescent="0.3">
      <c r="A8" s="3"/>
      <c r="B8" s="13" t="s">
        <v>23</v>
      </c>
      <c r="C8" s="13" t="s">
        <v>24</v>
      </c>
      <c r="D8" s="13" t="s">
        <v>25</v>
      </c>
      <c r="E8" s="19" t="s">
        <v>38</v>
      </c>
      <c r="F8" s="13" t="s">
        <v>25</v>
      </c>
      <c r="G8" s="10"/>
      <c r="H8" s="14" t="s">
        <v>26</v>
      </c>
      <c r="I8" s="14" t="s">
        <v>27</v>
      </c>
      <c r="J8" s="14" t="s">
        <v>28</v>
      </c>
      <c r="K8" s="14" t="s">
        <v>29</v>
      </c>
      <c r="Z8" s="57"/>
      <c r="AA8" s="58"/>
      <c r="AB8" s="59"/>
      <c r="AC8" s="60"/>
      <c r="AD8" s="59"/>
      <c r="AE8" s="59"/>
      <c r="AF8" s="60"/>
      <c r="AG8" s="59"/>
      <c r="AH8" s="61"/>
      <c r="AI8" s="62"/>
      <c r="AJ8" s="62"/>
      <c r="AK8" s="63"/>
      <c r="AL8" s="63"/>
      <c r="AM8" s="62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</row>
    <row r="9" spans="1:51" ht="18.75" x14ac:dyDescent="0.3">
      <c r="A9" s="66" t="s">
        <v>14</v>
      </c>
      <c r="B9" s="15">
        <f>TEOR.EQ_A_G_8!A3</f>
        <v>100</v>
      </c>
      <c r="C9" s="15">
        <f>TIG.EQ_At_G_1!A3</f>
        <v>94.332432355284283</v>
      </c>
      <c r="D9" s="16" t="e">
        <f>IF(K9&gt;0,K9,"")</f>
        <v>#DIV/0!</v>
      </c>
      <c r="E9" s="13" t="s">
        <v>56</v>
      </c>
      <c r="F9" s="20" t="e">
        <f t="shared" ref="F9:F12" si="0">D9</f>
        <v>#DIV/0!</v>
      </c>
      <c r="G9" s="90"/>
      <c r="H9" s="91" t="e">
        <f t="shared" ref="H9:H32" si="1">IF(B9&gt;0,$J$33*B9/100,"")</f>
        <v>#DIV/0!</v>
      </c>
      <c r="I9" s="91">
        <f>IF(C9&gt;0,$B$6*C9/100,"")</f>
        <v>943.32432355284288</v>
      </c>
      <c r="J9" s="91">
        <f>IF(B9&gt;0,I9/B9*100,"")</f>
        <v>943.324323552843</v>
      </c>
      <c r="K9" s="91" t="e">
        <f t="shared" ref="K9:K31" si="2">IF(H9&gt;H41,(H9-I9),"")</f>
        <v>#DIV/0!</v>
      </c>
      <c r="M9">
        <v>1</v>
      </c>
      <c r="O9" s="154" t="e">
        <f>D9</f>
        <v>#DIV/0!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V9" s="7"/>
      <c r="AW9" s="7"/>
      <c r="AX9" s="7"/>
    </row>
    <row r="10" spans="1:51" ht="18" x14ac:dyDescent="0.25">
      <c r="A10" s="66" t="s">
        <v>15</v>
      </c>
      <c r="B10" s="15">
        <f>TEOR.EQ_A_G_8!B3</f>
        <v>0</v>
      </c>
      <c r="C10" s="15">
        <f>TIG.EQ_At_G_1!B3</f>
        <v>0.89003710221410315</v>
      </c>
      <c r="D10" s="16" t="str">
        <f>IF(K10&gt;0,K10,"")</f>
        <v/>
      </c>
      <c r="E10" s="13" t="s">
        <v>16</v>
      </c>
      <c r="F10" s="20" t="e">
        <f>D10*5</f>
        <v>#VALUE!</v>
      </c>
      <c r="G10" s="90"/>
      <c r="H10" s="91" t="str">
        <f t="shared" si="1"/>
        <v/>
      </c>
      <c r="I10" s="91">
        <f t="shared" ref="I10:I16" si="3">IF(C10&gt;0,$B$6*C10/100,"")</f>
        <v>8.9003710221410319</v>
      </c>
      <c r="J10" s="91" t="str">
        <f>IF(B10&gt;0,I10/B10*100,"")</f>
        <v/>
      </c>
      <c r="K10" s="91" t="str">
        <f t="shared" si="2"/>
        <v/>
      </c>
      <c r="M10">
        <v>2</v>
      </c>
      <c r="O10" s="154" t="str">
        <f>D10</f>
        <v/>
      </c>
    </row>
    <row r="11" spans="1:51" ht="18" x14ac:dyDescent="0.25">
      <c r="A11" s="66" t="s">
        <v>8</v>
      </c>
      <c r="B11" s="15">
        <f>TEOR.EQ_A_G_8!C3</f>
        <v>0</v>
      </c>
      <c r="C11" s="15">
        <f>TIG.EQ_At_G_1!C3</f>
        <v>1.4300596136698511</v>
      </c>
      <c r="D11" s="16" t="str">
        <f t="shared" ref="D11:D32" si="4">IF(K11&gt;0,K11,"")</f>
        <v/>
      </c>
      <c r="E11" s="13" t="s">
        <v>13</v>
      </c>
      <c r="F11" s="20" t="str">
        <f t="shared" si="0"/>
        <v/>
      </c>
      <c r="G11" s="90"/>
      <c r="H11" s="91" t="str">
        <f t="shared" si="1"/>
        <v/>
      </c>
      <c r="I11" s="91">
        <f t="shared" si="3"/>
        <v>14.300596136698511</v>
      </c>
      <c r="J11" s="91" t="str">
        <f>IF(B11&gt;0,I11/B11*100,"")</f>
        <v/>
      </c>
      <c r="K11" s="91" t="str">
        <f t="shared" si="2"/>
        <v/>
      </c>
      <c r="M11">
        <v>3</v>
      </c>
      <c r="O11" s="154" t="str">
        <f>D11</f>
        <v/>
      </c>
    </row>
    <row r="12" spans="1:51" ht="18" x14ac:dyDescent="0.25">
      <c r="A12" s="66" t="s">
        <v>9</v>
      </c>
      <c r="B12" s="15">
        <f>TEOR.EQ_A_G_8!D3</f>
        <v>0</v>
      </c>
      <c r="C12" s="15">
        <f>TIG.EQ_At_G_1!D3</f>
        <v>0</v>
      </c>
      <c r="D12" s="16" t="str">
        <f t="shared" si="4"/>
        <v/>
      </c>
      <c r="E12" s="13" t="s">
        <v>15</v>
      </c>
      <c r="F12" s="20" t="str">
        <f t="shared" si="0"/>
        <v/>
      </c>
      <c r="G12" s="90"/>
      <c r="H12" s="91" t="str">
        <f t="shared" si="1"/>
        <v/>
      </c>
      <c r="I12" s="91" t="str">
        <f>IF(C12&gt;0,$B$6*C12/100,"")</f>
        <v/>
      </c>
      <c r="J12" s="91" t="str">
        <f>IF(B12&gt;0,I12/B12*100,"")</f>
        <v/>
      </c>
      <c r="K12" s="91" t="str">
        <f t="shared" si="2"/>
        <v/>
      </c>
      <c r="M12">
        <v>4</v>
      </c>
      <c r="O12" s="154" t="str">
        <f>D17</f>
        <v/>
      </c>
    </row>
    <row r="13" spans="1:51" ht="18" x14ac:dyDescent="0.25">
      <c r="A13" s="66" t="s">
        <v>234</v>
      </c>
      <c r="B13" s="15">
        <f>TEOR.EQ_A_G_8!E3</f>
        <v>0</v>
      </c>
      <c r="C13" s="15">
        <f>TIG.EQ_At_G_1!E3</f>
        <v>0</v>
      </c>
      <c r="D13" s="16" t="str">
        <f t="shared" si="4"/>
        <v/>
      </c>
      <c r="E13" s="13" t="s">
        <v>17</v>
      </c>
      <c r="F13" s="20" t="e">
        <f>D13*10</f>
        <v>#VALUE!</v>
      </c>
      <c r="G13" s="90"/>
      <c r="H13" s="91" t="str">
        <f t="shared" si="1"/>
        <v/>
      </c>
      <c r="I13" s="91" t="str">
        <f t="shared" si="3"/>
        <v/>
      </c>
      <c r="J13" s="91" t="str">
        <f>IF(B13&gt;0,I13/B13*100,"")</f>
        <v/>
      </c>
      <c r="K13" s="91" t="str">
        <f t="shared" si="2"/>
        <v/>
      </c>
      <c r="M13">
        <v>5</v>
      </c>
      <c r="O13" s="154" t="str">
        <f>D18</f>
        <v/>
      </c>
    </row>
    <row r="14" spans="1:51" ht="18" x14ac:dyDescent="0.25">
      <c r="A14" s="66" t="s">
        <v>56</v>
      </c>
      <c r="B14" s="15">
        <f>TEOR.EQ_A_G_8!F3</f>
        <v>0</v>
      </c>
      <c r="C14" s="15">
        <f>TIG.EQ_At_G_1!F3</f>
        <v>0.20533994550961771</v>
      </c>
      <c r="D14" s="16" t="str">
        <f t="shared" si="4"/>
        <v/>
      </c>
      <c r="E14" s="13" t="s">
        <v>45</v>
      </c>
      <c r="F14" s="20" t="e">
        <f>D14*10</f>
        <v>#VALUE!</v>
      </c>
      <c r="G14" s="90"/>
      <c r="H14" s="91" t="str">
        <f t="shared" si="1"/>
        <v/>
      </c>
      <c r="I14" s="91">
        <f t="shared" si="3"/>
        <v>2.0533994550961769</v>
      </c>
      <c r="J14" s="91" t="e">
        <f>IF(C14&gt;0.14,I14/B14*100,"")</f>
        <v>#DIV/0!</v>
      </c>
      <c r="K14" s="91" t="str">
        <f t="shared" si="2"/>
        <v/>
      </c>
      <c r="M14">
        <v>6</v>
      </c>
      <c r="O14" s="154" t="str">
        <f>D14</f>
        <v/>
      </c>
    </row>
    <row r="15" spans="1:51" ht="18" x14ac:dyDescent="0.25">
      <c r="A15" s="66" t="s">
        <v>57</v>
      </c>
      <c r="B15" s="15">
        <f>TEOR.EQ_A_G_8!G3</f>
        <v>0</v>
      </c>
      <c r="C15" s="15">
        <f>TIG.EQ_At_G_1!G3</f>
        <v>0</v>
      </c>
      <c r="D15" s="16" t="str">
        <f>IF(K15&gt;0,K15,"")</f>
        <v/>
      </c>
      <c r="E15" s="13" t="s">
        <v>14</v>
      </c>
      <c r="F15" s="20" t="e">
        <f>(F13-D13)+(F10-D10)+(F14-D14)</f>
        <v>#VALUE!</v>
      </c>
      <c r="G15" s="90"/>
      <c r="H15" s="91" t="str">
        <f t="shared" si="1"/>
        <v/>
      </c>
      <c r="I15" s="91" t="str">
        <f>IF(C15&gt;0,$B$6*C15/100,"")</f>
        <v/>
      </c>
      <c r="J15" s="91" t="str">
        <f>IF(B15&gt;0,I15/B15*100,"")</f>
        <v/>
      </c>
      <c r="K15" s="91" t="str">
        <f t="shared" si="2"/>
        <v/>
      </c>
      <c r="M15">
        <v>7</v>
      </c>
      <c r="O15" s="154"/>
    </row>
    <row r="16" spans="1:51" ht="18" x14ac:dyDescent="0.25">
      <c r="A16" s="66" t="s">
        <v>58</v>
      </c>
      <c r="B16" s="15">
        <f>TEOR.EQ_A_G_8!H3</f>
        <v>0</v>
      </c>
      <c r="C16" s="15">
        <f>TIG.EQ_At_G_1!H3</f>
        <v>0</v>
      </c>
      <c r="D16" s="16" t="str">
        <f t="shared" si="4"/>
        <v/>
      </c>
      <c r="E16" s="13"/>
      <c r="F16" s="21" t="e">
        <f>D16*10</f>
        <v>#VALUE!</v>
      </c>
      <c r="G16" s="90"/>
      <c r="H16" s="91" t="str">
        <f t="shared" si="1"/>
        <v/>
      </c>
      <c r="I16" s="91" t="str">
        <f t="shared" si="3"/>
        <v/>
      </c>
      <c r="J16" s="91" t="str">
        <f>IF(B16&gt;0,I16/B16*100,"")</f>
        <v/>
      </c>
      <c r="K16" s="91" t="str">
        <f t="shared" si="2"/>
        <v/>
      </c>
      <c r="M16">
        <v>8</v>
      </c>
      <c r="O16" s="154"/>
    </row>
    <row r="17" spans="1:15" ht="18" x14ac:dyDescent="0.25">
      <c r="A17" s="66" t="s">
        <v>77</v>
      </c>
      <c r="B17" s="15">
        <f>TEOR.EQ_A_G_8!I3</f>
        <v>0</v>
      </c>
      <c r="C17" s="15">
        <f>TIG.EQ_At_G_1!I3</f>
        <v>0</v>
      </c>
      <c r="D17" s="16" t="str">
        <f t="shared" si="4"/>
        <v/>
      </c>
      <c r="E17" s="13"/>
      <c r="F17" s="17" t="str">
        <f>D17</f>
        <v/>
      </c>
      <c r="G17" s="90"/>
      <c r="H17" s="91" t="str">
        <f t="shared" si="1"/>
        <v/>
      </c>
      <c r="I17" s="91" t="str">
        <f>IF(C17&gt;0,$B$6*C17/100,"")</f>
        <v/>
      </c>
      <c r="J17" s="91" t="str">
        <f>IF(B17&gt;0,I17/B17*100,"")</f>
        <v/>
      </c>
      <c r="K17" s="91" t="str">
        <f t="shared" si="2"/>
        <v/>
      </c>
      <c r="M17">
        <v>9</v>
      </c>
      <c r="O17" s="154"/>
    </row>
    <row r="18" spans="1:15" ht="18" x14ac:dyDescent="0.25">
      <c r="A18" s="66" t="s">
        <v>204</v>
      </c>
      <c r="B18" s="15">
        <f>TEOR.EQ_A_G_8!J3</f>
        <v>0</v>
      </c>
      <c r="C18" s="15">
        <f>TIG.EQ_At_G_1!J3</f>
        <v>0</v>
      </c>
      <c r="D18" s="92" t="str">
        <f t="shared" si="4"/>
        <v/>
      </c>
      <c r="H18" s="91" t="str">
        <f t="shared" si="1"/>
        <v/>
      </c>
      <c r="I18" s="91" t="str">
        <f t="shared" ref="I18:I32" si="5">IF(C18&gt;0,$B$6*C18/100,"")</f>
        <v/>
      </c>
      <c r="J18" s="91" t="str">
        <f t="shared" ref="J18:J32" si="6">IF(B18&gt;0,I18/B18*100,"")</f>
        <v/>
      </c>
      <c r="K18" s="91" t="str">
        <f>IF(H18&gt;H50,(H18-I18),"")</f>
        <v/>
      </c>
      <c r="M18">
        <v>10</v>
      </c>
      <c r="O18" s="154" t="str">
        <f>D18</f>
        <v/>
      </c>
    </row>
    <row r="19" spans="1:15" ht="18" x14ac:dyDescent="0.25">
      <c r="A19" s="66" t="s">
        <v>16</v>
      </c>
      <c r="B19" s="15">
        <f>TEOR.EQ_A_G_8!K3</f>
        <v>0</v>
      </c>
      <c r="C19" s="15">
        <f>TIG.EQ_At_G_1!K3</f>
        <v>1.6000667006096232</v>
      </c>
      <c r="D19" t="str">
        <f t="shared" si="4"/>
        <v/>
      </c>
      <c r="H19" s="91" t="str">
        <f t="shared" si="1"/>
        <v/>
      </c>
      <c r="I19" s="91">
        <f t="shared" si="5"/>
        <v>16.000667006096233</v>
      </c>
      <c r="J19" s="91" t="str">
        <f t="shared" si="6"/>
        <v/>
      </c>
      <c r="K19" s="91" t="str">
        <f t="shared" si="2"/>
        <v/>
      </c>
      <c r="M19">
        <v>11</v>
      </c>
      <c r="O19" s="154" t="str">
        <f>D19</f>
        <v/>
      </c>
    </row>
    <row r="20" spans="1:15" ht="18" x14ac:dyDescent="0.25">
      <c r="A20" s="66" t="s">
        <v>12</v>
      </c>
      <c r="B20" s="15">
        <f>TEOR.EQ_A_G_8!L3</f>
        <v>0</v>
      </c>
      <c r="C20" s="15">
        <f>TIG.EQ_At_G_1!L3</f>
        <v>0</v>
      </c>
      <c r="D20" t="str">
        <f t="shared" si="4"/>
        <v/>
      </c>
      <c r="H20" s="91" t="str">
        <f t="shared" si="1"/>
        <v/>
      </c>
      <c r="I20" s="91" t="str">
        <f t="shared" si="5"/>
        <v/>
      </c>
      <c r="J20" s="91" t="str">
        <f t="shared" si="6"/>
        <v/>
      </c>
      <c r="K20" s="91" t="str">
        <f t="shared" si="2"/>
        <v/>
      </c>
      <c r="M20">
        <v>12</v>
      </c>
      <c r="O20" t="str">
        <f>D20</f>
        <v/>
      </c>
    </row>
    <row r="21" spans="1:15" ht="18" x14ac:dyDescent="0.25">
      <c r="A21" s="66" t="s">
        <v>44</v>
      </c>
      <c r="B21" s="15">
        <f>TEOR.EQ_A_G_8!M3</f>
        <v>0</v>
      </c>
      <c r="C21" s="15">
        <f>TIG.EQ_At_G_1!M3</f>
        <v>1.3000541942453192</v>
      </c>
      <c r="D21" t="str">
        <f t="shared" si="4"/>
        <v/>
      </c>
      <c r="H21" s="91" t="str">
        <f t="shared" si="1"/>
        <v/>
      </c>
      <c r="I21" s="91">
        <f t="shared" si="5"/>
        <v>13.000541942453191</v>
      </c>
      <c r="J21" s="91" t="str">
        <f t="shared" si="6"/>
        <v/>
      </c>
      <c r="K21" s="91" t="str">
        <f t="shared" si="2"/>
        <v/>
      </c>
      <c r="M21">
        <v>13</v>
      </c>
      <c r="O21" t="str">
        <f>D21</f>
        <v/>
      </c>
    </row>
    <row r="22" spans="1:15" ht="18" x14ac:dyDescent="0.25">
      <c r="A22" s="66" t="s">
        <v>55</v>
      </c>
      <c r="B22" s="15">
        <f>TEOR.EQ_A_G_8!N3</f>
        <v>0</v>
      </c>
      <c r="C22" s="15">
        <f>TIG.EQ_At_G_1!N3</f>
        <v>0.19000792069739278</v>
      </c>
      <c r="D22" t="str">
        <f t="shared" si="4"/>
        <v/>
      </c>
      <c r="H22" s="91" t="str">
        <f t="shared" si="1"/>
        <v/>
      </c>
      <c r="I22" s="91">
        <f t="shared" si="5"/>
        <v>1.9000792069739278</v>
      </c>
      <c r="J22" s="91" t="str">
        <f t="shared" si="6"/>
        <v/>
      </c>
      <c r="K22" s="91" t="str">
        <f>IF(H22&gt;H64,(H22-I22),"")</f>
        <v/>
      </c>
      <c r="M22">
        <v>14</v>
      </c>
    </row>
    <row r="23" spans="1:15" ht="18" x14ac:dyDescent="0.25">
      <c r="A23" s="66" t="s">
        <v>17</v>
      </c>
      <c r="B23" s="15">
        <f>TEOR.EQ_A_G_8!O3</f>
        <v>0</v>
      </c>
      <c r="C23" s="15">
        <f>TIG.EQ_At_G_1!O3</f>
        <v>0</v>
      </c>
      <c r="D23" t="str">
        <f t="shared" si="4"/>
        <v/>
      </c>
      <c r="H23" s="91" t="str">
        <f t="shared" si="1"/>
        <v/>
      </c>
      <c r="I23" s="91" t="str">
        <f t="shared" si="5"/>
        <v/>
      </c>
      <c r="J23" s="91" t="str">
        <f t="shared" si="6"/>
        <v/>
      </c>
      <c r="K23" s="91" t="str">
        <f>IF(H23&gt;H65,(H23-I23),"")</f>
        <v/>
      </c>
      <c r="M23">
        <v>15</v>
      </c>
    </row>
    <row r="24" spans="1:15" ht="18" x14ac:dyDescent="0.25">
      <c r="A24" s="66" t="s">
        <v>80</v>
      </c>
      <c r="B24" s="15">
        <f>TEOR.EQ_A_G_8!P3</f>
        <v>0</v>
      </c>
      <c r="C24" s="15">
        <f>TIG.EQ_At_G_1!P3</f>
        <v>5.2002167769812764E-2</v>
      </c>
      <c r="D24" t="str">
        <f t="shared" si="4"/>
        <v/>
      </c>
      <c r="E24" t="s">
        <v>90</v>
      </c>
      <c r="F24" s="3"/>
      <c r="G24" s="3"/>
      <c r="H24" s="91" t="str">
        <f t="shared" si="1"/>
        <v/>
      </c>
      <c r="I24" s="91">
        <f t="shared" si="5"/>
        <v>0.52002167769812768</v>
      </c>
      <c r="J24" s="91" t="str">
        <f t="shared" si="6"/>
        <v/>
      </c>
      <c r="K24" s="91" t="str">
        <f>IF(H24&gt;H66,(H24-I24),"")</f>
        <v/>
      </c>
      <c r="L24" s="3"/>
      <c r="M24">
        <v>16</v>
      </c>
    </row>
    <row r="25" spans="1:15" ht="18" x14ac:dyDescent="0.25">
      <c r="A25" s="66" t="s">
        <v>81</v>
      </c>
      <c r="B25" s="15">
        <f>TEOR.EQ_A_G_8!Q3</f>
        <v>0</v>
      </c>
      <c r="C25" s="15">
        <f>TIG.EQ_At_G_1!Q3</f>
        <v>0</v>
      </c>
      <c r="D25" t="str">
        <f t="shared" si="4"/>
        <v/>
      </c>
      <c r="F25" s="69"/>
      <c r="G25" s="69"/>
      <c r="H25" s="91" t="str">
        <f t="shared" si="1"/>
        <v/>
      </c>
      <c r="I25" s="91" t="str">
        <f t="shared" si="5"/>
        <v/>
      </c>
      <c r="J25" s="91" t="str">
        <f t="shared" si="6"/>
        <v/>
      </c>
      <c r="K25" s="91" t="str">
        <f t="shared" si="2"/>
        <v/>
      </c>
      <c r="L25" s="69"/>
      <c r="M25">
        <v>17</v>
      </c>
    </row>
    <row r="26" spans="1:15" ht="18" x14ac:dyDescent="0.25">
      <c r="A26" s="66" t="s">
        <v>82</v>
      </c>
      <c r="B26" s="15">
        <f>TEOR.EQ_A_G_8!R3</f>
        <v>0</v>
      </c>
      <c r="C26" s="15">
        <f>TIG.EQ_At_G_1!R3</f>
        <v>0</v>
      </c>
      <c r="D26" t="str">
        <f t="shared" si="4"/>
        <v/>
      </c>
      <c r="E26" t="s">
        <v>91</v>
      </c>
      <c r="F26" s="4"/>
      <c r="G26" s="4"/>
      <c r="H26" s="91" t="str">
        <f t="shared" si="1"/>
        <v/>
      </c>
      <c r="I26" s="91" t="str">
        <f t="shared" si="5"/>
        <v/>
      </c>
      <c r="J26" s="91" t="str">
        <f t="shared" si="6"/>
        <v/>
      </c>
      <c r="K26" s="91" t="str">
        <f t="shared" si="2"/>
        <v/>
      </c>
      <c r="L26" s="4"/>
      <c r="M26">
        <v>18</v>
      </c>
    </row>
    <row r="27" spans="1:15" ht="18" x14ac:dyDescent="0.25">
      <c r="A27" s="66" t="s">
        <v>83</v>
      </c>
      <c r="B27" s="15">
        <f>TEOR.EQ_A_G_8!S3</f>
        <v>0</v>
      </c>
      <c r="C27" s="15">
        <f>TIG.EQ_At_G_1!S3</f>
        <v>0</v>
      </c>
      <c r="D27" t="str">
        <f t="shared" si="4"/>
        <v/>
      </c>
      <c r="H27" s="91" t="str">
        <f t="shared" si="1"/>
        <v/>
      </c>
      <c r="I27" s="91" t="str">
        <f t="shared" si="5"/>
        <v/>
      </c>
      <c r="J27" s="91" t="str">
        <f t="shared" si="6"/>
        <v/>
      </c>
      <c r="K27" s="91" t="str">
        <f t="shared" si="2"/>
        <v/>
      </c>
      <c r="M27">
        <v>19</v>
      </c>
    </row>
    <row r="28" spans="1:15" ht="18" x14ac:dyDescent="0.25">
      <c r="A28" s="66" t="s">
        <v>45</v>
      </c>
      <c r="B28" s="15">
        <f>TEOR.EQ_A_G_8!T3</f>
        <v>0</v>
      </c>
      <c r="C28" s="15">
        <f>TIG.EQ_At_G_1!T3</f>
        <v>0</v>
      </c>
      <c r="D28" t="str">
        <f t="shared" si="4"/>
        <v/>
      </c>
      <c r="H28" s="91" t="str">
        <f t="shared" si="1"/>
        <v/>
      </c>
      <c r="I28" s="91" t="str">
        <f t="shared" si="5"/>
        <v/>
      </c>
      <c r="J28" s="91" t="str">
        <f t="shared" si="6"/>
        <v/>
      </c>
      <c r="K28" s="91" t="str">
        <f t="shared" si="2"/>
        <v/>
      </c>
      <c r="M28">
        <v>20</v>
      </c>
    </row>
    <row r="29" spans="1:15" ht="18" x14ac:dyDescent="0.25">
      <c r="A29" s="66" t="s">
        <v>43</v>
      </c>
      <c r="B29" s="15">
        <f>TEOR.EQ_A_G_8!U3</f>
        <v>0</v>
      </c>
      <c r="C29" s="15">
        <f>TIG.EQ_At_G_1!U3</f>
        <v>0</v>
      </c>
      <c r="D29" t="str">
        <f t="shared" si="4"/>
        <v/>
      </c>
      <c r="H29" s="91" t="str">
        <f t="shared" si="1"/>
        <v/>
      </c>
      <c r="I29" s="91" t="str">
        <f t="shared" si="5"/>
        <v/>
      </c>
      <c r="J29" s="91" t="str">
        <f t="shared" si="6"/>
        <v/>
      </c>
      <c r="K29" s="91" t="str">
        <f t="shared" si="2"/>
        <v/>
      </c>
      <c r="M29">
        <v>21</v>
      </c>
    </row>
    <row r="30" spans="1:15" ht="18" x14ac:dyDescent="0.25">
      <c r="A30" s="66" t="s">
        <v>13</v>
      </c>
      <c r="B30" s="15">
        <f>TEOR.EQ_A_G_8!V3</f>
        <v>0</v>
      </c>
      <c r="C30" s="15">
        <f>TIG.EQ_At_G_1!V3</f>
        <v>0</v>
      </c>
      <c r="D30" t="str">
        <f t="shared" si="4"/>
        <v/>
      </c>
      <c r="H30" s="91" t="str">
        <f t="shared" si="1"/>
        <v/>
      </c>
      <c r="I30" s="91" t="str">
        <f t="shared" si="5"/>
        <v/>
      </c>
      <c r="J30" s="91" t="str">
        <f t="shared" si="6"/>
        <v/>
      </c>
      <c r="K30" s="91" t="str">
        <f t="shared" si="2"/>
        <v/>
      </c>
      <c r="M30">
        <v>22</v>
      </c>
    </row>
    <row r="31" spans="1:15" ht="18" x14ac:dyDescent="0.25">
      <c r="A31" s="66" t="s">
        <v>0</v>
      </c>
      <c r="B31" s="15">
        <f>TEOR.EQ_A_G_8!W3</f>
        <v>0</v>
      </c>
      <c r="C31" s="15">
        <f>TIG.EQ_At_G_1!W3</f>
        <v>0</v>
      </c>
      <c r="D31" t="str">
        <f t="shared" si="4"/>
        <v/>
      </c>
      <c r="H31" s="91" t="str">
        <f t="shared" si="1"/>
        <v/>
      </c>
      <c r="I31" s="91" t="str">
        <f t="shared" si="5"/>
        <v/>
      </c>
      <c r="J31" s="91" t="str">
        <f t="shared" si="6"/>
        <v/>
      </c>
      <c r="K31" s="91" t="str">
        <f t="shared" si="2"/>
        <v/>
      </c>
      <c r="M31">
        <v>23</v>
      </c>
    </row>
    <row r="32" spans="1:15" ht="18" x14ac:dyDescent="0.25">
      <c r="A32" s="66" t="s">
        <v>11</v>
      </c>
      <c r="B32" s="15">
        <f>TEOR.EQ_A_G_8!X3</f>
        <v>0</v>
      </c>
      <c r="C32" s="15">
        <f>TIG.EQ_At_G_1!X3</f>
        <v>0</v>
      </c>
      <c r="D32" t="str">
        <f t="shared" si="4"/>
        <v/>
      </c>
      <c r="H32" s="91" t="str">
        <f t="shared" si="1"/>
        <v/>
      </c>
      <c r="I32" s="91" t="str">
        <f t="shared" si="5"/>
        <v/>
      </c>
      <c r="J32" s="91" t="str">
        <f t="shared" si="6"/>
        <v/>
      </c>
      <c r="K32" s="91" t="str">
        <f>IF(H32&gt;H64,(H32-I32),"")</f>
        <v/>
      </c>
      <c r="M32">
        <v>24</v>
      </c>
    </row>
    <row r="33" spans="1:26" ht="18" x14ac:dyDescent="0.25">
      <c r="A33" s="66" t="s">
        <v>10</v>
      </c>
      <c r="B33" s="15">
        <f>TEOR.EQ_A_G_8!Y3</f>
        <v>0</v>
      </c>
      <c r="C33" s="15">
        <f>TIG.EQ_At_G_1!Y3</f>
        <v>0</v>
      </c>
      <c r="D33" t="e">
        <f>IF(K34&gt;0,K34,"")</f>
        <v>#DIV/0!</v>
      </c>
      <c r="E33" s="17" t="e">
        <f>D15-F33</f>
        <v>#VALUE!</v>
      </c>
      <c r="F33" s="17" t="e">
        <f>(F14-D14)+(F13-D13)</f>
        <v>#VALUE!</v>
      </c>
      <c r="G33" s="90" t="s">
        <v>30</v>
      </c>
      <c r="H33" s="91" t="e">
        <f>SUM(H9:H32)</f>
        <v>#DIV/0!</v>
      </c>
      <c r="I33" s="91">
        <f>SUM(I9:I32)</f>
        <v>1000</v>
      </c>
      <c r="J33" s="91" t="e">
        <f>MAX(J9:J32)</f>
        <v>#DIV/0!</v>
      </c>
      <c r="K33" s="91" t="e">
        <f>IF(H33&gt;H65,(H33-I33),"")</f>
        <v>#DIV/0!</v>
      </c>
      <c r="M33">
        <v>25</v>
      </c>
    </row>
    <row r="34" spans="1:26" x14ac:dyDescent="0.25">
      <c r="B34" s="14">
        <f>SUM(B9:B33)</f>
        <v>100</v>
      </c>
      <c r="C34" s="14">
        <f>SUM(C9:C32)</f>
        <v>100.00000000000001</v>
      </c>
      <c r="D34" s="18" t="e">
        <f>SUM(D10:D33)</f>
        <v>#DIV/0!</v>
      </c>
      <c r="G34" s="337" t="s">
        <v>31</v>
      </c>
      <c r="H34" s="338"/>
      <c r="I34" s="91"/>
      <c r="J34" s="91" t="e">
        <f>IF(B6&gt;0,B6+D33,"")</f>
        <v>#DIV/0!</v>
      </c>
      <c r="K34" s="91" t="e">
        <f>SUM(K9:K32)</f>
        <v>#DIV/0!</v>
      </c>
    </row>
    <row r="35" spans="1:26" ht="18" x14ac:dyDescent="0.25">
      <c r="A35">
        <f>'OK OK'!A3</f>
        <v>0</v>
      </c>
      <c r="B35" s="210" t="s">
        <v>14</v>
      </c>
      <c r="C35" s="210" t="s">
        <v>15</v>
      </c>
      <c r="D35" s="210" t="s">
        <v>8</v>
      </c>
      <c r="E35" s="210" t="s">
        <v>9</v>
      </c>
      <c r="F35" s="210" t="s">
        <v>234</v>
      </c>
      <c r="G35" s="210" t="s">
        <v>56</v>
      </c>
      <c r="H35" s="210" t="s">
        <v>57</v>
      </c>
      <c r="I35" s="210" t="s">
        <v>58</v>
      </c>
      <c r="J35" s="210" t="s">
        <v>77</v>
      </c>
      <c r="K35" s="210" t="s">
        <v>204</v>
      </c>
      <c r="L35" s="210" t="s">
        <v>16</v>
      </c>
      <c r="M35" s="210" t="s">
        <v>12</v>
      </c>
      <c r="N35" s="210" t="s">
        <v>44</v>
      </c>
      <c r="O35" s="210" t="s">
        <v>55</v>
      </c>
      <c r="P35" s="210" t="s">
        <v>17</v>
      </c>
      <c r="Q35" s="210" t="s">
        <v>80</v>
      </c>
      <c r="R35" s="210" t="s">
        <v>81</v>
      </c>
      <c r="S35" s="210" t="s">
        <v>82</v>
      </c>
      <c r="T35" s="210" t="s">
        <v>83</v>
      </c>
      <c r="U35" s="210" t="s">
        <v>45</v>
      </c>
      <c r="V35" s="210" t="s">
        <v>43</v>
      </c>
      <c r="W35" s="210" t="s">
        <v>13</v>
      </c>
      <c r="X35" s="210" t="s">
        <v>0</v>
      </c>
      <c r="Y35" s="210" t="s">
        <v>11</v>
      </c>
      <c r="Z35" s="210" t="s">
        <v>10</v>
      </c>
    </row>
    <row r="36" spans="1:26" x14ac:dyDescent="0.25">
      <c r="A36" s="124" t="str">
        <f>'OK OK'!A4</f>
        <v>Composition in the crucible</v>
      </c>
      <c r="B36">
        <f>'OK OK'!B4</f>
        <v>94.328499999999991</v>
      </c>
      <c r="C36">
        <f>'OK OK'!C4</f>
        <v>0.89</v>
      </c>
      <c r="D36">
        <f>'OK OK'!D4</f>
        <v>1.43</v>
      </c>
      <c r="E36">
        <f>'OK OK'!E4</f>
        <v>0</v>
      </c>
      <c r="F36">
        <f>'OK OK'!F4</f>
        <v>0</v>
      </c>
      <c r="G36">
        <f>'OK OK'!G4</f>
        <v>0.2</v>
      </c>
      <c r="H36">
        <f>'OK OK'!H4</f>
        <v>5.0000000000000001E-3</v>
      </c>
      <c r="I36">
        <f>'OK OK'!I4</f>
        <v>1E-3</v>
      </c>
      <c r="J36">
        <f>'OK OK'!J4</f>
        <v>1E-3</v>
      </c>
      <c r="K36">
        <f>'OK OK'!K4</f>
        <v>1.5E-3</v>
      </c>
      <c r="L36">
        <f>'OK OK'!L4</f>
        <v>1.6</v>
      </c>
      <c r="M36">
        <f>'OK OK'!M4</f>
        <v>1E-3</v>
      </c>
      <c r="N36">
        <f>'OK OK'!N4</f>
        <v>1.3</v>
      </c>
      <c r="O36">
        <f>'OK OK'!O4</f>
        <v>0.19</v>
      </c>
      <c r="P36">
        <f>'OK OK'!P4</f>
        <v>0</v>
      </c>
      <c r="Q36">
        <f>'OK OK'!Q4</f>
        <v>5.1999999999999998E-2</v>
      </c>
      <c r="R36">
        <f>'OK OK'!R4</f>
        <v>0</v>
      </c>
      <c r="S36">
        <f>'OK OK'!S4</f>
        <v>0</v>
      </c>
      <c r="T36">
        <f>'OK OK'!T4</f>
        <v>0</v>
      </c>
      <c r="U36">
        <f>'OK OK'!U4</f>
        <v>0</v>
      </c>
      <c r="V36">
        <f>'OK OK'!V4</f>
        <v>0</v>
      </c>
      <c r="W36">
        <f>'OK OK'!W4</f>
        <v>0</v>
      </c>
      <c r="X36">
        <f>'OK OK'!X4</f>
        <v>0</v>
      </c>
      <c r="Y36">
        <f>'OK OK'!Y4</f>
        <v>0</v>
      </c>
      <c r="Z36">
        <f>'OK OK'!Z4</f>
        <v>0</v>
      </c>
    </row>
    <row r="37" spans="1:26" x14ac:dyDescent="0.25">
      <c r="A37" s="96" t="s">
        <v>165</v>
      </c>
      <c r="B37" t="e">
        <f>100-C37-D37-E37-F37-G37-H37-I37-J37-K37-L37-M37-N37-O37-P37-Q37-R37-S37-T37-U37-V37-W37-X37-Y37-Z37</f>
        <v>#DIV/0!</v>
      </c>
      <c r="C37" t="e">
        <f>C36/G6</f>
        <v>#DIV/0!</v>
      </c>
      <c r="D37" t="e">
        <f>D36/G6</f>
        <v>#DIV/0!</v>
      </c>
      <c r="E37" t="e">
        <f>E36/G6</f>
        <v>#DIV/0!</v>
      </c>
      <c r="F37" t="e">
        <f>F36/G6</f>
        <v>#DIV/0!</v>
      </c>
      <c r="G37" t="e">
        <f>G36/G6</f>
        <v>#DIV/0!</v>
      </c>
      <c r="H37" t="e">
        <f>H36/G6</f>
        <v>#DIV/0!</v>
      </c>
      <c r="I37" t="e">
        <f>I36/G6</f>
        <v>#DIV/0!</v>
      </c>
      <c r="J37" t="e">
        <f>J36/G6</f>
        <v>#DIV/0!</v>
      </c>
      <c r="K37" t="e">
        <f>K36/G6</f>
        <v>#DIV/0!</v>
      </c>
      <c r="L37" t="e">
        <f>L36/G6</f>
        <v>#DIV/0!</v>
      </c>
      <c r="M37" t="e">
        <f>M36/G6</f>
        <v>#DIV/0!</v>
      </c>
      <c r="N37" t="e">
        <f>N36/G6</f>
        <v>#DIV/0!</v>
      </c>
      <c r="O37" t="e">
        <f>O36/G6</f>
        <v>#DIV/0!</v>
      </c>
      <c r="P37" t="e">
        <f>P36/G6</f>
        <v>#DIV/0!</v>
      </c>
      <c r="Q37" t="e">
        <f>Q36/G6</f>
        <v>#DIV/0!</v>
      </c>
      <c r="R37" t="e">
        <f>R36/G6</f>
        <v>#DIV/0!</v>
      </c>
      <c r="S37" t="e">
        <f>S36/G6</f>
        <v>#DIV/0!</v>
      </c>
      <c r="T37" t="e">
        <f>T36/G6</f>
        <v>#DIV/0!</v>
      </c>
      <c r="U37" t="e">
        <f>U36/G6</f>
        <v>#DIV/0!</v>
      </c>
      <c r="V37" t="e">
        <f>V36/G6</f>
        <v>#DIV/0!</v>
      </c>
      <c r="W37" t="e">
        <f>W36/G6</f>
        <v>#DIV/0!</v>
      </c>
      <c r="X37" t="e">
        <f>X36/G6</f>
        <v>#DIV/0!</v>
      </c>
      <c r="Y37" t="e">
        <f>Y36/G6</f>
        <v>#DIV/0!</v>
      </c>
      <c r="Z37" t="e">
        <f>Z36/G6</f>
        <v>#DIV/0!</v>
      </c>
    </row>
    <row r="54" spans="1:51" ht="18.75" x14ac:dyDescent="0.3">
      <c r="B54" s="210" t="s">
        <v>14</v>
      </c>
      <c r="C54" s="210" t="s">
        <v>15</v>
      </c>
      <c r="D54" s="210" t="s">
        <v>8</v>
      </c>
      <c r="E54" s="210" t="s">
        <v>9</v>
      </c>
      <c r="F54" s="210" t="s">
        <v>234</v>
      </c>
      <c r="G54" s="210" t="s">
        <v>56</v>
      </c>
      <c r="H54" s="210" t="s">
        <v>57</v>
      </c>
      <c r="I54" s="210" t="s">
        <v>58</v>
      </c>
      <c r="J54" s="210" t="s">
        <v>77</v>
      </c>
      <c r="K54" s="210" t="s">
        <v>204</v>
      </c>
      <c r="L54" s="210" t="s">
        <v>16</v>
      </c>
      <c r="M54" s="210" t="s">
        <v>12</v>
      </c>
      <c r="N54" s="210" t="s">
        <v>44</v>
      </c>
      <c r="O54" s="210" t="s">
        <v>55</v>
      </c>
      <c r="P54" s="210" t="s">
        <v>17</v>
      </c>
      <c r="Q54" s="210" t="s">
        <v>80</v>
      </c>
      <c r="R54" s="210" t="s">
        <v>81</v>
      </c>
      <c r="S54" s="210" t="s">
        <v>82</v>
      </c>
      <c r="T54" s="210" t="s">
        <v>83</v>
      </c>
      <c r="U54" s="210" t="s">
        <v>45</v>
      </c>
      <c r="V54" s="210" t="s">
        <v>43</v>
      </c>
      <c r="W54" s="210" t="s">
        <v>13</v>
      </c>
      <c r="X54" s="210" t="s">
        <v>0</v>
      </c>
      <c r="Y54" s="210" t="s">
        <v>11</v>
      </c>
      <c r="Z54" s="210" t="s">
        <v>10</v>
      </c>
      <c r="AA54" s="211" t="s">
        <v>14</v>
      </c>
      <c r="AB54" s="212" t="s">
        <v>15</v>
      </c>
      <c r="AC54" s="213" t="s">
        <v>8</v>
      </c>
      <c r="AD54" s="214" t="s">
        <v>9</v>
      </c>
      <c r="AE54" s="213" t="s">
        <v>234</v>
      </c>
      <c r="AF54" s="213" t="s">
        <v>56</v>
      </c>
      <c r="AG54" s="214" t="s">
        <v>57</v>
      </c>
      <c r="AH54" s="213" t="s">
        <v>58</v>
      </c>
      <c r="AI54" s="215" t="s">
        <v>77</v>
      </c>
      <c r="AJ54" s="216" t="s">
        <v>204</v>
      </c>
      <c r="AK54" s="216" t="s">
        <v>16</v>
      </c>
      <c r="AL54" s="210" t="s">
        <v>13</v>
      </c>
      <c r="AM54" s="215" t="s">
        <v>44</v>
      </c>
      <c r="AN54" s="216" t="s">
        <v>55</v>
      </c>
      <c r="AO54" s="210" t="s">
        <v>17</v>
      </c>
      <c r="AP54" s="210" t="s">
        <v>80</v>
      </c>
      <c r="AQ54" s="210" t="s">
        <v>81</v>
      </c>
      <c r="AR54" s="210" t="s">
        <v>82</v>
      </c>
      <c r="AS54" s="210" t="s">
        <v>83</v>
      </c>
      <c r="AT54" s="210" t="s">
        <v>45</v>
      </c>
      <c r="AU54" s="210" t="s">
        <v>43</v>
      </c>
      <c r="AV54" s="210" t="s">
        <v>12</v>
      </c>
      <c r="AW54" s="210" t="s">
        <v>0</v>
      </c>
      <c r="AX54" s="210" t="s">
        <v>11</v>
      </c>
      <c r="AY54" s="210" t="s">
        <v>10</v>
      </c>
    </row>
    <row r="55" spans="1:51" ht="18.75" x14ac:dyDescent="0.3">
      <c r="B55" s="36" t="e">
        <f>100-C55-D55-E55-F55-G55-H55-I55-J55-K55-L55-M55-N55-O55-P55-Q55-R55-S55-T55-U55-V55-W55-X55-Y55-Z55</f>
        <v>#DIV/0!</v>
      </c>
      <c r="C55" s="37" t="e">
        <f>C37</f>
        <v>#DIV/0!</v>
      </c>
      <c r="D55" s="37" t="e">
        <f t="shared" ref="D55:Z55" si="7">D37</f>
        <v>#DIV/0!</v>
      </c>
      <c r="E55" s="37" t="e">
        <f t="shared" si="7"/>
        <v>#DIV/0!</v>
      </c>
      <c r="F55" s="37" t="e">
        <f t="shared" si="7"/>
        <v>#DIV/0!</v>
      </c>
      <c r="G55" s="37" t="e">
        <f t="shared" si="7"/>
        <v>#DIV/0!</v>
      </c>
      <c r="H55" s="37" t="e">
        <f t="shared" si="7"/>
        <v>#DIV/0!</v>
      </c>
      <c r="I55" s="37" t="e">
        <f t="shared" si="7"/>
        <v>#DIV/0!</v>
      </c>
      <c r="J55" s="37" t="e">
        <f t="shared" si="7"/>
        <v>#DIV/0!</v>
      </c>
      <c r="K55" s="37" t="e">
        <f t="shared" si="7"/>
        <v>#DIV/0!</v>
      </c>
      <c r="L55" s="37" t="e">
        <f t="shared" si="7"/>
        <v>#DIV/0!</v>
      </c>
      <c r="M55" s="37" t="e">
        <f t="shared" si="7"/>
        <v>#DIV/0!</v>
      </c>
      <c r="N55" s="37" t="e">
        <f t="shared" si="7"/>
        <v>#DIV/0!</v>
      </c>
      <c r="O55" s="37" t="e">
        <f t="shared" si="7"/>
        <v>#DIV/0!</v>
      </c>
      <c r="P55" s="37" t="e">
        <f t="shared" si="7"/>
        <v>#DIV/0!</v>
      </c>
      <c r="Q55" s="37" t="e">
        <f t="shared" si="7"/>
        <v>#DIV/0!</v>
      </c>
      <c r="R55" s="37" t="e">
        <f t="shared" si="7"/>
        <v>#DIV/0!</v>
      </c>
      <c r="S55" s="37" t="e">
        <f t="shared" si="7"/>
        <v>#DIV/0!</v>
      </c>
      <c r="T55" s="37" t="e">
        <f t="shared" si="7"/>
        <v>#DIV/0!</v>
      </c>
      <c r="U55" s="37" t="e">
        <f t="shared" si="7"/>
        <v>#DIV/0!</v>
      </c>
      <c r="V55" s="37" t="e">
        <f t="shared" si="7"/>
        <v>#DIV/0!</v>
      </c>
      <c r="W55" s="37" t="e">
        <f t="shared" si="7"/>
        <v>#DIV/0!</v>
      </c>
      <c r="X55" s="37" t="e">
        <f t="shared" si="7"/>
        <v>#DIV/0!</v>
      </c>
      <c r="Y55" s="37" t="e">
        <f t="shared" si="7"/>
        <v>#DIV/0!</v>
      </c>
      <c r="Z55" s="37" t="e">
        <f t="shared" si="7"/>
        <v>#DIV/0!</v>
      </c>
      <c r="AA55" s="219">
        <v>55.84</v>
      </c>
      <c r="AB55" s="219">
        <v>28.0855</v>
      </c>
      <c r="AC55" s="219">
        <v>58.693399999999997</v>
      </c>
      <c r="AD55" s="219">
        <v>63.545999999999999</v>
      </c>
      <c r="AE55" s="219">
        <v>65.38</v>
      </c>
      <c r="AF55" s="219">
        <v>12.01</v>
      </c>
      <c r="AG55" s="219">
        <v>30.973762000000001</v>
      </c>
      <c r="AH55" s="219">
        <v>32.064999999999998</v>
      </c>
      <c r="AI55" s="219">
        <v>14.0067</v>
      </c>
      <c r="AJ55" s="219">
        <v>10.81</v>
      </c>
      <c r="AK55" s="219">
        <v>54.938043999999998</v>
      </c>
      <c r="AL55" s="219">
        <v>24.305</v>
      </c>
      <c r="AM55" s="219">
        <v>51.996099999999998</v>
      </c>
      <c r="AN55" s="219">
        <v>95.95</v>
      </c>
      <c r="AO55" s="220">
        <v>47.866999999999997</v>
      </c>
      <c r="AP55" s="220">
        <v>50.941499999999998</v>
      </c>
      <c r="AQ55" s="220">
        <v>92.906369999999995</v>
      </c>
      <c r="AR55" s="220">
        <v>183.84</v>
      </c>
      <c r="AS55" s="220">
        <v>180.94788</v>
      </c>
      <c r="AT55" s="220">
        <v>91.224000000000004</v>
      </c>
      <c r="AU55" s="220">
        <v>58.933194999999998</v>
      </c>
      <c r="AV55" s="220">
        <v>26.981539999999999</v>
      </c>
      <c r="AW55" s="219">
        <v>121.76</v>
      </c>
      <c r="AX55" s="219">
        <v>207.2</v>
      </c>
      <c r="AY55" s="219">
        <v>118.71</v>
      </c>
    </row>
    <row r="56" spans="1:51" ht="18.75" x14ac:dyDescent="0.3">
      <c r="A56" s="96" t="s">
        <v>166</v>
      </c>
      <c r="B56" s="36" t="e">
        <f>100*((((B55)/(AA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C56" s="36" t="e">
        <f>100*((((C55)/(AB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D56" s="36" t="e">
        <f>100*((((D55)/(AC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E56" s="36" t="e">
        <f>100*((((E55)/(AD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F56" s="36" t="e">
        <f>100*((((F55)/(AE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G56" s="36" t="e">
        <f>100*((((G55)/(AF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H56" s="36" t="e">
        <f>100*((((H55)/(AG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I56" s="36" t="e">
        <f>100*((((I55)/(AH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J56" s="36" t="e">
        <f>100*((((J55)/(AI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K56" s="36" t="e">
        <f>100*((((K55)/(AJ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L56" s="36" t="e">
        <f>100*((((L55)/(AK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M56" s="36" t="e">
        <f>100*((((M55)/(AL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N56" s="36" t="e">
        <f>100*((((N55)/(AM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O56" s="36" t="e">
        <f>100*((((O55)/(AN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P56" s="36" t="e">
        <f>100*((((P55)/(AO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Q56" s="36" t="e">
        <f>100*((((Q55)/(AP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R56" s="36" t="e">
        <f>100*((((R55)/(AQ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S56" s="36" t="e">
        <f>100*((((S55)/(AR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T56" s="36" t="e">
        <f>100*((((T55)/(AS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U56" s="36" t="e">
        <f>100*((((U55)/(AT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V56" s="36" t="e">
        <f>100*((((V55)/(AU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W56" s="36" t="e">
        <f>100*((((W55)/(AV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X56" s="7" t="e">
        <f>100*((((X55)/(AW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Y56" s="7" t="e">
        <f>100*((((Y55)/(AX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Z56" s="7" t="e">
        <f>100*((((Z55)/(AY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</sheetData>
  <mergeCells count="1">
    <mergeCell ref="G34:H3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7720B-6E80-4913-A45C-4ACC8DE2E6AA}">
  <dimension ref="A3:AY63"/>
  <sheetViews>
    <sheetView zoomScaleNormal="100" workbookViewId="0">
      <selection activeCell="M6" sqref="M6:N17"/>
    </sheetView>
  </sheetViews>
  <sheetFormatPr baseColWidth="10" defaultRowHeight="15" x14ac:dyDescent="0.25"/>
  <cols>
    <col min="1" max="1" width="16.28515625" customWidth="1"/>
    <col min="2" max="2" width="13" customWidth="1"/>
    <col min="3" max="3" width="11.7109375" customWidth="1"/>
    <col min="4" max="4" width="9.5703125" customWidth="1"/>
    <col min="5" max="5" width="8.85546875" customWidth="1"/>
    <col min="6" max="6" width="11" customWidth="1"/>
    <col min="7" max="7" width="11.140625" customWidth="1"/>
    <col min="8" max="8" width="10.85546875" customWidth="1"/>
    <col min="9" max="9" width="11.85546875" customWidth="1"/>
    <col min="10" max="10" width="8.85546875" customWidth="1"/>
    <col min="11" max="11" width="9" customWidth="1"/>
    <col min="12" max="12" width="8.85546875" customWidth="1"/>
    <col min="13" max="13" width="8.140625" customWidth="1"/>
    <col min="14" max="14" width="9.140625" customWidth="1"/>
    <col min="15" max="15" width="7.85546875" customWidth="1"/>
    <col min="16" max="16" width="9" customWidth="1"/>
    <col min="17" max="17" width="7.42578125" customWidth="1"/>
    <col min="18" max="18" width="7.28515625" customWidth="1"/>
    <col min="19" max="19" width="7.7109375" customWidth="1"/>
    <col min="20" max="20" width="12.28515625" customWidth="1"/>
    <col min="21" max="21" width="11.7109375" customWidth="1"/>
    <col min="22" max="22" width="9.140625" customWidth="1"/>
    <col min="23" max="23" width="8.28515625" customWidth="1"/>
    <col min="24" max="25" width="7.7109375" customWidth="1"/>
    <col min="26" max="26" width="8.140625" customWidth="1"/>
  </cols>
  <sheetData>
    <row r="3" spans="1:26" ht="18" x14ac:dyDescent="0.25">
      <c r="B3" s="66" t="s">
        <v>14</v>
      </c>
      <c r="C3" s="66" t="s">
        <v>56</v>
      </c>
      <c r="D3" s="66" t="s">
        <v>15</v>
      </c>
      <c r="E3" s="66" t="s">
        <v>8</v>
      </c>
      <c r="F3" s="66" t="s">
        <v>9</v>
      </c>
      <c r="G3" s="66" t="s">
        <v>57</v>
      </c>
      <c r="H3" s="66" t="s">
        <v>58</v>
      </c>
      <c r="I3" s="66" t="s">
        <v>77</v>
      </c>
      <c r="J3" s="66" t="s">
        <v>204</v>
      </c>
      <c r="K3" s="66" t="s">
        <v>16</v>
      </c>
      <c r="L3" s="66" t="s">
        <v>55</v>
      </c>
      <c r="M3" s="66" t="s">
        <v>44</v>
      </c>
      <c r="N3" s="66" t="s">
        <v>43</v>
      </c>
      <c r="O3" s="66" t="s">
        <v>12</v>
      </c>
      <c r="P3" s="66" t="s">
        <v>80</v>
      </c>
      <c r="Q3" s="66" t="s">
        <v>81</v>
      </c>
      <c r="R3" s="66" t="s">
        <v>82</v>
      </c>
      <c r="S3" s="66" t="s">
        <v>83</v>
      </c>
      <c r="T3" s="66" t="s">
        <v>45</v>
      </c>
      <c r="U3" s="66" t="s">
        <v>17</v>
      </c>
      <c r="V3" s="66" t="s">
        <v>13</v>
      </c>
      <c r="W3" s="66" t="s">
        <v>0</v>
      </c>
      <c r="X3" s="66" t="s">
        <v>11</v>
      </c>
      <c r="Y3" s="66" t="s">
        <v>10</v>
      </c>
      <c r="Z3" s="66" t="s">
        <v>46</v>
      </c>
    </row>
    <row r="4" spans="1:26" ht="18" x14ac:dyDescent="0.25">
      <c r="A4" t="s">
        <v>205</v>
      </c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25">
      <c r="A5" t="s">
        <v>206</v>
      </c>
    </row>
    <row r="6" spans="1:26" x14ac:dyDescent="0.25">
      <c r="A6" t="s">
        <v>207</v>
      </c>
      <c r="M6">
        <v>1</v>
      </c>
      <c r="N6" s="49">
        <f>M6*100/599</f>
        <v>0.1669449081803005</v>
      </c>
    </row>
    <row r="7" spans="1:26" x14ac:dyDescent="0.25">
      <c r="A7" t="s">
        <v>208</v>
      </c>
      <c r="M7">
        <v>89</v>
      </c>
      <c r="N7" s="49">
        <f t="shared" ref="N7" si="0">M7*100/599</f>
        <v>14.858096828046744</v>
      </c>
    </row>
    <row r="8" spans="1:26" x14ac:dyDescent="0.25">
      <c r="A8" t="s">
        <v>209</v>
      </c>
      <c r="M8">
        <v>91</v>
      </c>
      <c r="N8" s="49">
        <f>M8*100/599</f>
        <v>15.191986644407345</v>
      </c>
    </row>
    <row r="9" spans="1:26" x14ac:dyDescent="0.25">
      <c r="A9" t="s">
        <v>210</v>
      </c>
      <c r="M9">
        <v>93</v>
      </c>
      <c r="N9" s="49">
        <f t="shared" ref="N9:N17" si="1">M9*100/599</f>
        <v>15.525876460767947</v>
      </c>
    </row>
    <row r="10" spans="1:26" x14ac:dyDescent="0.25">
      <c r="A10" t="s">
        <v>211</v>
      </c>
      <c r="M10">
        <v>95</v>
      </c>
      <c r="N10" s="49">
        <f t="shared" si="1"/>
        <v>15.859766277128548</v>
      </c>
    </row>
    <row r="11" spans="1:26" x14ac:dyDescent="0.25">
      <c r="A11" t="s">
        <v>212</v>
      </c>
      <c r="M11">
        <v>97</v>
      </c>
      <c r="N11" s="49">
        <f t="shared" si="1"/>
        <v>16.19365609348915</v>
      </c>
    </row>
    <row r="12" spans="1:26" x14ac:dyDescent="0.25">
      <c r="A12" t="s">
        <v>213</v>
      </c>
      <c r="M12">
        <v>99</v>
      </c>
      <c r="N12" s="49">
        <f t="shared" si="1"/>
        <v>16.527545909849749</v>
      </c>
    </row>
    <row r="13" spans="1:26" x14ac:dyDescent="0.25">
      <c r="A13" t="s">
        <v>214</v>
      </c>
      <c r="M13">
        <v>101</v>
      </c>
      <c r="N13" s="49">
        <f t="shared" si="1"/>
        <v>16.861435726210349</v>
      </c>
    </row>
    <row r="14" spans="1:26" x14ac:dyDescent="0.25">
      <c r="A14" t="s">
        <v>215</v>
      </c>
      <c r="M14">
        <v>103</v>
      </c>
      <c r="N14" s="49">
        <f>M14*100/599</f>
        <v>17.195325542570952</v>
      </c>
      <c r="P14" s="49">
        <f>O14*100/599</f>
        <v>0</v>
      </c>
    </row>
    <row r="15" spans="1:26" x14ac:dyDescent="0.25">
      <c r="A15" t="s">
        <v>216</v>
      </c>
      <c r="M15">
        <v>105</v>
      </c>
      <c r="N15" s="49">
        <f t="shared" si="1"/>
        <v>17.529215358931552</v>
      </c>
    </row>
    <row r="16" spans="1:26" x14ac:dyDescent="0.25">
      <c r="A16" t="s">
        <v>217</v>
      </c>
      <c r="M16">
        <v>107</v>
      </c>
      <c r="N16" s="49">
        <f t="shared" si="1"/>
        <v>17.863105175292155</v>
      </c>
    </row>
    <row r="17" spans="1:51" x14ac:dyDescent="0.25">
      <c r="M17">
        <v>109</v>
      </c>
      <c r="N17" s="49">
        <f t="shared" si="1"/>
        <v>18.196994991652755</v>
      </c>
    </row>
    <row r="18" spans="1:51" ht="18.75" x14ac:dyDescent="0.3">
      <c r="B18" s="66" t="s">
        <v>14</v>
      </c>
      <c r="C18" s="66" t="s">
        <v>56</v>
      </c>
      <c r="D18" s="66" t="s">
        <v>15</v>
      </c>
      <c r="E18" s="66" t="s">
        <v>8</v>
      </c>
      <c r="F18" s="66" t="s">
        <v>9</v>
      </c>
      <c r="G18" s="66" t="s">
        <v>57</v>
      </c>
      <c r="H18" s="66" t="s">
        <v>58</v>
      </c>
      <c r="I18" s="66" t="s">
        <v>77</v>
      </c>
      <c r="J18" s="66" t="s">
        <v>204</v>
      </c>
      <c r="K18" s="66" t="s">
        <v>16</v>
      </c>
      <c r="L18" s="66" t="s">
        <v>55</v>
      </c>
      <c r="M18" s="66" t="s">
        <v>44</v>
      </c>
      <c r="N18" s="66" t="s">
        <v>43</v>
      </c>
      <c r="O18" s="66" t="s">
        <v>12</v>
      </c>
      <c r="P18" s="66" t="s">
        <v>80</v>
      </c>
      <c r="Q18" s="66" t="s">
        <v>81</v>
      </c>
      <c r="R18" s="66" t="s">
        <v>82</v>
      </c>
      <c r="S18" s="66" t="s">
        <v>83</v>
      </c>
      <c r="T18" s="66" t="s">
        <v>45</v>
      </c>
      <c r="U18" s="66" t="s">
        <v>17</v>
      </c>
      <c r="V18" s="66" t="s">
        <v>204</v>
      </c>
      <c r="W18" s="66" t="s">
        <v>0</v>
      </c>
      <c r="X18" s="66" t="s">
        <v>11</v>
      </c>
      <c r="Y18" s="66" t="s">
        <v>10</v>
      </c>
      <c r="Z18" s="66" t="s">
        <v>46</v>
      </c>
      <c r="AA18" s="67" t="s">
        <v>14</v>
      </c>
      <c r="AB18" s="58" t="s">
        <v>56</v>
      </c>
      <c r="AC18" s="59" t="s">
        <v>15</v>
      </c>
      <c r="AD18" s="60" t="s">
        <v>8</v>
      </c>
      <c r="AE18" s="59" t="s">
        <v>9</v>
      </c>
      <c r="AF18" s="59" t="s">
        <v>57</v>
      </c>
      <c r="AG18" s="60" t="s">
        <v>58</v>
      </c>
      <c r="AH18" s="59" t="s">
        <v>77</v>
      </c>
      <c r="AI18" s="61" t="s">
        <v>204</v>
      </c>
      <c r="AJ18" s="62" t="s">
        <v>16</v>
      </c>
      <c r="AK18" s="62" t="s">
        <v>55</v>
      </c>
      <c r="AL18" s="63" t="s">
        <v>44</v>
      </c>
      <c r="AM18" s="63" t="s">
        <v>10</v>
      </c>
      <c r="AN18" s="62" t="s">
        <v>12</v>
      </c>
      <c r="AO18" s="35" t="s">
        <v>80</v>
      </c>
      <c r="AP18" s="35" t="s">
        <v>81</v>
      </c>
      <c r="AQ18" s="35" t="s">
        <v>82</v>
      </c>
      <c r="AR18" s="35" t="s">
        <v>83</v>
      </c>
      <c r="AS18" s="35" t="s">
        <v>45</v>
      </c>
      <c r="AT18" s="35" t="s">
        <v>17</v>
      </c>
      <c r="AU18" s="61" t="s">
        <v>13</v>
      </c>
      <c r="AV18" s="35" t="s">
        <v>0</v>
      </c>
      <c r="AW18" s="35" t="s">
        <v>11</v>
      </c>
      <c r="AX18" s="35" t="s">
        <v>10</v>
      </c>
      <c r="AY18" s="35" t="s">
        <v>46</v>
      </c>
    </row>
    <row r="19" spans="1:51" ht="18.75" x14ac:dyDescent="0.3">
      <c r="B19" s="36">
        <f>100-C19-D19-E19-F19-G19-H19-I19-J19-K19-L19-M19-N19-O19-P19-Q19-R19-S19-T19-U19-V19-W19-X19-Y19-Z19</f>
        <v>99.740000000000009</v>
      </c>
      <c r="C19" s="37">
        <v>5.0000000000000001E-3</v>
      </c>
      <c r="D19" s="37">
        <v>3.0000000000000001E-3</v>
      </c>
      <c r="E19" s="37"/>
      <c r="F19" s="37"/>
      <c r="G19" s="37">
        <v>0.01</v>
      </c>
      <c r="H19" s="37">
        <v>0.01</v>
      </c>
      <c r="I19" s="37">
        <v>2E-3</v>
      </c>
      <c r="J19" s="37"/>
      <c r="K19" s="37">
        <v>0.1</v>
      </c>
      <c r="L19" s="37"/>
      <c r="M19" s="37"/>
      <c r="N19" s="37"/>
      <c r="O19" s="37">
        <v>0.03</v>
      </c>
      <c r="P19" s="37"/>
      <c r="Q19" s="37"/>
      <c r="R19" s="37"/>
      <c r="S19" s="37"/>
      <c r="T19" s="37"/>
      <c r="U19" s="37">
        <v>0.1</v>
      </c>
      <c r="V19" s="37"/>
      <c r="W19" s="37"/>
      <c r="X19" s="37"/>
      <c r="Y19" s="37"/>
      <c r="Z19" s="37"/>
      <c r="AA19" s="68">
        <v>55.84</v>
      </c>
      <c r="AB19" s="7">
        <v>12.01</v>
      </c>
      <c r="AC19" s="7">
        <v>28.0855</v>
      </c>
      <c r="AD19" s="7">
        <v>58.693399999999997</v>
      </c>
      <c r="AE19" s="7">
        <v>63.545999999999999</v>
      </c>
      <c r="AF19" s="7">
        <v>30.973762000000001</v>
      </c>
      <c r="AG19" s="7">
        <v>32.064999999999998</v>
      </c>
      <c r="AH19" s="7">
        <v>14.0067</v>
      </c>
      <c r="AI19" s="7">
        <v>10.81</v>
      </c>
      <c r="AJ19" s="7">
        <v>54.938043999999998</v>
      </c>
      <c r="AK19" s="7">
        <v>95.95</v>
      </c>
      <c r="AL19" s="7">
        <v>51.996099999999998</v>
      </c>
      <c r="AM19" s="7">
        <v>58.933194999999998</v>
      </c>
      <c r="AN19" s="7">
        <v>26.981539999999999</v>
      </c>
      <c r="AO19">
        <v>50.941499999999998</v>
      </c>
      <c r="AP19">
        <v>92.906369999999995</v>
      </c>
      <c r="AQ19">
        <v>183.84</v>
      </c>
      <c r="AR19">
        <v>180.94788</v>
      </c>
      <c r="AS19">
        <v>91.224000000000004</v>
      </c>
      <c r="AT19">
        <v>47.866999999999997</v>
      </c>
      <c r="AU19" s="7">
        <v>24.305</v>
      </c>
      <c r="AV19">
        <v>121.76</v>
      </c>
      <c r="AW19" s="7">
        <v>207.2</v>
      </c>
      <c r="AX19" s="7">
        <v>118.71</v>
      </c>
      <c r="AY19" s="7">
        <v>208.9804</v>
      </c>
    </row>
    <row r="20" spans="1:51" ht="18.75" x14ac:dyDescent="0.3">
      <c r="B20" s="36">
        <f>100*((((B19)/(AA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99.647314758774868</v>
      </c>
      <c r="C20" s="36">
        <f>100*((((C19)/(AB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2.3225690943538917E-2</v>
      </c>
      <c r="D20" s="36">
        <f>100*((((D19)/(AC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5.9591009217974198E-3</v>
      </c>
      <c r="E20" s="36">
        <f>100*((((E19)/(AD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F20" s="36">
        <f>100*((((F19)/(AE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G20" s="36">
        <f>100*((((G19)/(AF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1.8011409026252763E-2</v>
      </c>
      <c r="H20" s="36">
        <f>100*((((H19)/(AG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1.7398443675777475E-2</v>
      </c>
      <c r="I20" s="36">
        <f>100*((((I19)/(AH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7.965917688874679E-3</v>
      </c>
      <c r="J20" s="36">
        <f>100*((((J19)/(AI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K20" s="36">
        <f>100*((((K19)/(AJ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0.10154731691281269</v>
      </c>
      <c r="L20" s="36">
        <f>100*((((L19)/(AK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M20" s="36">
        <f>100*((((M19)/(AL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N20" s="36">
        <f>100*((((N19)/(AM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O20" s="36">
        <f>100*((((O19)/(AN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6.2029198088449151E-2</v>
      </c>
      <c r="P20" s="36">
        <f>100*((((P19)/(AO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Q20" s="36">
        <f>100*((((Q19)/(AP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R20" s="36">
        <f>100*((((R19)/(AQ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S20" s="36">
        <f>100*((((S19)/(AR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T20" s="36">
        <f>100*((((T19)/(AS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U20" s="36">
        <f>100*((((U19)/(AT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0.11654816396761962</v>
      </c>
      <c r="V20" s="36">
        <f>100*((((V19)/(AU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W20" s="36">
        <f>100*((((W19)/(AV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X20" s="7">
        <f>100*((((X19)/(AW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Y20" s="7">
        <f>100*((((Y19)/(AX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Z20" s="7">
        <f>100*((((Z19)/(AY19))/(((B19)/(AA19))+((C19)/(AB19))+((D19)/(AC19))+((E19)/(AD19))+((F19)/(AE19))+((G19)/(AF19))+((H19)/(AG19))+((I19)/(AH19))+((J19)/(AI19))+((K19)/(AJ19))+((L19)/(AK19))+((M19)/(AL19))+((N19)/(AM19))+((O19)/(AN19))+((P19)/(AO19))+((Q19)/(AP19))+((R19)/(AQ19))+((S19)/(AR19))+((T19)/(AS19))+((U19)/(AT19))+((V19)/(AU19))+((W19)/(AV19))+((X19)/(AW19))+((Y19)/(AX19))+((Z19)/(AY19)))))</f>
        <v>0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</row>
    <row r="21" spans="1:51" x14ac:dyDescent="0.25">
      <c r="A21">
        <f>599-B21</f>
        <v>2.1125845949385393</v>
      </c>
      <c r="B21">
        <f>599*B20/100</f>
        <v>596.88741540506146</v>
      </c>
      <c r="C21">
        <f>599*C20/100</f>
        <v>0.13912188875179812</v>
      </c>
      <c r="D21">
        <f t="shared" ref="D21" si="2">599*D20/100</f>
        <v>3.5695014521566544E-2</v>
      </c>
      <c r="E21">
        <f t="shared" ref="E21" si="3">599*E20/100</f>
        <v>0</v>
      </c>
      <c r="F21">
        <f t="shared" ref="F21" si="4">599*F20/100</f>
        <v>0</v>
      </c>
      <c r="G21">
        <f t="shared" ref="G21" si="5">599*G20/100</f>
        <v>0.10788834006725406</v>
      </c>
      <c r="H21">
        <f t="shared" ref="H21" si="6">599*H20/100</f>
        <v>0.10421667761790708</v>
      </c>
      <c r="I21">
        <f t="shared" ref="I21" si="7">599*I20/100</f>
        <v>4.7715846956359324E-2</v>
      </c>
      <c r="J21">
        <f t="shared" ref="J21" si="8">599*J20/100</f>
        <v>0</v>
      </c>
      <c r="K21">
        <f t="shared" ref="K21" si="9">599*K20/100</f>
        <v>0.60826842830774797</v>
      </c>
      <c r="L21">
        <f t="shared" ref="L21" si="10">599*L20/100</f>
        <v>0</v>
      </c>
      <c r="M21">
        <f t="shared" ref="M21" si="11">599*M20/100</f>
        <v>0</v>
      </c>
      <c r="N21">
        <f t="shared" ref="N21" si="12">599*N20/100</f>
        <v>0</v>
      </c>
      <c r="O21">
        <f t="shared" ref="O21" si="13">599*O20/100</f>
        <v>0.37155489654981039</v>
      </c>
      <c r="P21">
        <f t="shared" ref="P21" si="14">599*P20/100</f>
        <v>0</v>
      </c>
      <c r="Q21">
        <f t="shared" ref="Q21" si="15">599*Q20/100</f>
        <v>0</v>
      </c>
      <c r="R21">
        <f t="shared" ref="R21" si="16">599*R20/100</f>
        <v>0</v>
      </c>
      <c r="S21">
        <f t="shared" ref="S21" si="17">599*S20/100</f>
        <v>0</v>
      </c>
      <c r="T21">
        <f t="shared" ref="T21" si="18">599*T20/100</f>
        <v>0</v>
      </c>
      <c r="U21">
        <f t="shared" ref="U21" si="19">599*U20/100</f>
        <v>0.69812350216604158</v>
      </c>
      <c r="V21">
        <f t="shared" ref="V21" si="20">599*V20/100</f>
        <v>0</v>
      </c>
      <c r="W21">
        <f t="shared" ref="W21" si="21">599*W20/100</f>
        <v>0</v>
      </c>
      <c r="X21">
        <f t="shared" ref="X21" si="22">599*X20/100</f>
        <v>0</v>
      </c>
      <c r="Y21">
        <f t="shared" ref="Y21" si="23">599*Y20/100</f>
        <v>0</v>
      </c>
      <c r="Z21">
        <f t="shared" ref="Z21" si="24">599*Z20/100</f>
        <v>0</v>
      </c>
    </row>
    <row r="23" spans="1:51" x14ac:dyDescent="0.25">
      <c r="A23">
        <f>B23+C23+D23+E23+F23+G23+H23+I23+J23+K23+L23+M23+N23+O23+P23+Q23+R23+S23+T23+U23+V23+W23+X23+Y23+Z23</f>
        <v>2.0447158469563593</v>
      </c>
      <c r="C23">
        <v>0.13900000000000001</v>
      </c>
      <c r="D23">
        <v>3.7999999999999999E-2</v>
      </c>
      <c r="G23">
        <v>0.1</v>
      </c>
      <c r="H23">
        <v>0.1</v>
      </c>
      <c r="I23">
        <f>I21</f>
        <v>4.7715846956359324E-2</v>
      </c>
      <c r="K23">
        <v>0.62</v>
      </c>
      <c r="O23">
        <v>0.38</v>
      </c>
      <c r="U23">
        <v>0.62</v>
      </c>
    </row>
    <row r="24" spans="1:51" x14ac:dyDescent="0.25">
      <c r="A24" t="s">
        <v>218</v>
      </c>
      <c r="B24">
        <f>K21+O21+U21</f>
        <v>1.6779468270235998</v>
      </c>
    </row>
    <row r="25" spans="1:51" x14ac:dyDescent="0.25">
      <c r="A25" t="s">
        <v>219</v>
      </c>
      <c r="B25">
        <f>C21+D21+G21+H21+I21</f>
        <v>0.43463776791488518</v>
      </c>
    </row>
    <row r="26" spans="1:51" x14ac:dyDescent="0.25">
      <c r="B26">
        <f>B24+B25</f>
        <v>2.1125845949384852</v>
      </c>
    </row>
    <row r="28" spans="1:51" ht="18.75" x14ac:dyDescent="0.3">
      <c r="B28" s="66" t="s">
        <v>14</v>
      </c>
      <c r="C28" s="66" t="s">
        <v>56</v>
      </c>
      <c r="D28" s="66" t="s">
        <v>15</v>
      </c>
      <c r="E28" s="66" t="s">
        <v>8</v>
      </c>
      <c r="F28" s="66" t="s">
        <v>9</v>
      </c>
      <c r="G28" s="66" t="s">
        <v>57</v>
      </c>
      <c r="H28" s="66" t="s">
        <v>58</v>
      </c>
      <c r="I28" s="66" t="s">
        <v>77</v>
      </c>
      <c r="J28" s="66" t="s">
        <v>204</v>
      </c>
      <c r="K28" s="66" t="s">
        <v>16</v>
      </c>
      <c r="L28" s="66" t="s">
        <v>55</v>
      </c>
      <c r="M28" s="66" t="s">
        <v>44</v>
      </c>
      <c r="N28" s="66" t="s">
        <v>43</v>
      </c>
      <c r="O28" s="66" t="s">
        <v>12</v>
      </c>
      <c r="P28" s="66" t="s">
        <v>80</v>
      </c>
      <c r="Q28" s="66" t="s">
        <v>81</v>
      </c>
      <c r="R28" s="66" t="s">
        <v>82</v>
      </c>
      <c r="S28" s="66" t="s">
        <v>83</v>
      </c>
      <c r="T28" s="66" t="s">
        <v>45</v>
      </c>
      <c r="U28" s="66" t="s">
        <v>17</v>
      </c>
      <c r="V28" s="66" t="s">
        <v>204</v>
      </c>
      <c r="W28" s="66" t="s">
        <v>0</v>
      </c>
      <c r="X28" s="66" t="s">
        <v>11</v>
      </c>
      <c r="Y28" s="66" t="s">
        <v>10</v>
      </c>
      <c r="Z28" s="66" t="s">
        <v>46</v>
      </c>
      <c r="AA28" s="67" t="s">
        <v>14</v>
      </c>
      <c r="AB28" s="58" t="s">
        <v>56</v>
      </c>
      <c r="AC28" s="59" t="s">
        <v>15</v>
      </c>
      <c r="AD28" s="60" t="s">
        <v>8</v>
      </c>
      <c r="AE28" s="59" t="s">
        <v>9</v>
      </c>
      <c r="AF28" s="59" t="s">
        <v>57</v>
      </c>
      <c r="AG28" s="60" t="s">
        <v>58</v>
      </c>
      <c r="AH28" s="59" t="s">
        <v>77</v>
      </c>
      <c r="AI28" s="61" t="s">
        <v>204</v>
      </c>
      <c r="AJ28" s="62" t="s">
        <v>16</v>
      </c>
      <c r="AK28" s="62" t="s">
        <v>55</v>
      </c>
      <c r="AL28" s="63" t="s">
        <v>44</v>
      </c>
      <c r="AM28" s="63" t="s">
        <v>10</v>
      </c>
      <c r="AN28" s="62" t="s">
        <v>12</v>
      </c>
      <c r="AO28" s="35" t="s">
        <v>80</v>
      </c>
      <c r="AP28" s="35" t="s">
        <v>81</v>
      </c>
      <c r="AQ28" s="35" t="s">
        <v>82</v>
      </c>
      <c r="AR28" s="35" t="s">
        <v>83</v>
      </c>
      <c r="AS28" s="35" t="s">
        <v>45</v>
      </c>
      <c r="AT28" s="35" t="s">
        <v>17</v>
      </c>
      <c r="AU28" s="61" t="s">
        <v>13</v>
      </c>
      <c r="AV28" s="35" t="s">
        <v>0</v>
      </c>
      <c r="AW28" s="35" t="s">
        <v>11</v>
      </c>
      <c r="AX28" s="35" t="s">
        <v>10</v>
      </c>
      <c r="AY28" s="35" t="s">
        <v>46</v>
      </c>
    </row>
    <row r="29" spans="1:51" ht="18.75" x14ac:dyDescent="0.3">
      <c r="B29" s="36">
        <f>100-C29-D29-E29-F29-G29-H29-I29-J29-K29-L29-M29-N29-O29-P29-Q29-R29-S29-T29-U29-V29-W29-X29-Y29-Z29</f>
        <v>99.515000000000001</v>
      </c>
      <c r="C29" s="37">
        <v>0.01</v>
      </c>
      <c r="D29" s="37">
        <v>3.0000000000000001E-3</v>
      </c>
      <c r="E29" s="37"/>
      <c r="F29" s="37"/>
      <c r="G29" s="37">
        <v>0.02</v>
      </c>
      <c r="H29" s="37">
        <v>0.02</v>
      </c>
      <c r="I29" s="37">
        <v>2E-3</v>
      </c>
      <c r="J29" s="37"/>
      <c r="K29" s="37">
        <v>0.2</v>
      </c>
      <c r="L29" s="37"/>
      <c r="M29" s="37"/>
      <c r="N29" s="37"/>
      <c r="O29" s="37">
        <v>0.03</v>
      </c>
      <c r="P29" s="37"/>
      <c r="Q29" s="37"/>
      <c r="R29" s="37"/>
      <c r="S29" s="37"/>
      <c r="T29" s="37"/>
      <c r="U29" s="37">
        <v>0.2</v>
      </c>
      <c r="V29" s="37"/>
      <c r="W29" s="37"/>
      <c r="X29" s="37"/>
      <c r="Y29" s="37"/>
      <c r="Z29" s="37"/>
      <c r="AA29" s="68">
        <v>55.84</v>
      </c>
      <c r="AB29" s="7">
        <v>12.01</v>
      </c>
      <c r="AC29" s="7">
        <v>28.0855</v>
      </c>
      <c r="AD29" s="7">
        <v>58.693399999999997</v>
      </c>
      <c r="AE29" s="7">
        <v>63.545999999999999</v>
      </c>
      <c r="AF29" s="7">
        <v>30.973762000000001</v>
      </c>
      <c r="AG29" s="7">
        <v>32.064999999999998</v>
      </c>
      <c r="AH29" s="7">
        <v>14.0067</v>
      </c>
      <c r="AI29" s="7">
        <v>10.81</v>
      </c>
      <c r="AJ29" s="7">
        <v>54.938043999999998</v>
      </c>
      <c r="AK29" s="7">
        <v>95.95</v>
      </c>
      <c r="AL29" s="7">
        <v>51.996099999999998</v>
      </c>
      <c r="AM29" s="7">
        <v>58.933194999999998</v>
      </c>
      <c r="AN29" s="7">
        <v>26.981539999999999</v>
      </c>
      <c r="AO29">
        <v>50.941499999999998</v>
      </c>
      <c r="AP29">
        <v>92.906369999999995</v>
      </c>
      <c r="AQ29">
        <v>183.84</v>
      </c>
      <c r="AR29">
        <v>180.94788</v>
      </c>
      <c r="AS29">
        <v>91.224000000000004</v>
      </c>
      <c r="AT29">
        <v>47.866999999999997</v>
      </c>
      <c r="AU29" s="7">
        <v>24.305</v>
      </c>
      <c r="AV29">
        <v>121.76</v>
      </c>
      <c r="AW29" s="7">
        <v>207.2</v>
      </c>
      <c r="AX29" s="7">
        <v>118.71</v>
      </c>
      <c r="AY29" s="7">
        <v>208.9804</v>
      </c>
    </row>
    <row r="30" spans="1:51" ht="18.75" x14ac:dyDescent="0.3">
      <c r="B30" s="36">
        <f>100*((((B29)/(AA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99.370910484035093</v>
      </c>
      <c r="C30" s="36">
        <f>100*((((C29)/(AB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4.6427267513288906E-2</v>
      </c>
      <c r="D30" s="36">
        <f>100*((((D29)/(AC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5.9560073650239426E-3</v>
      </c>
      <c r="E30" s="36">
        <f>100*((((E29)/(AD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F30" s="36">
        <f>100*((((F29)/(AE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G30" s="36">
        <f>100*((((G29)/(AF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3.6004117474306138E-2</v>
      </c>
      <c r="H30" s="36">
        <f>100*((((H29)/(AG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3.4778823192552613E-2</v>
      </c>
      <c r="I30" s="36">
        <f>100*((((I29)/(AH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7.9617823303790303E-3</v>
      </c>
      <c r="J30" s="36">
        <f>100*((((J29)/(AI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K30" s="36">
        <f>100*((((K29)/(AJ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0.20298920101145201</v>
      </c>
      <c r="L30" s="36">
        <f>100*((((L29)/(AK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M30" s="36">
        <f>100*((((M29)/(AL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N30" s="36">
        <f>100*((((N29)/(AM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O30" s="36">
        <f>100*((((O29)/(AN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6.1996996780161517E-2</v>
      </c>
      <c r="P30" s="36">
        <f>100*((((P29)/(AO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Q30" s="36">
        <f>100*((((Q29)/(AP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R30" s="36">
        <f>100*((((R29)/(AQ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S30" s="36">
        <f>100*((((S29)/(AR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T30" s="36">
        <f>100*((((T29)/(AS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U30" s="36">
        <f>100*((((U29)/(AT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0.23297532029774159</v>
      </c>
      <c r="V30" s="36">
        <f>100*((((V29)/(AU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W30" s="36">
        <f>100*((((W29)/(AV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X30" s="7">
        <f>100*((((X29)/(AW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Y30" s="7">
        <f>100*((((Y29)/(AX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Z30" s="7">
        <f>100*((((Z29)/(AY29))/(((B29)/(AA29))+((C29)/(AB29))+((D29)/(AC29))+((E29)/(AD29))+((F29)/(AE29))+((G29)/(AF29))+((H29)/(AG29))+((I29)/(AH29))+((J29)/(AI29))+((K29)/(AJ29))+((L29)/(AK29))+((M29)/(AL29))+((N29)/(AM29))+((O29)/(AN29))+((P29)/(AO29))+((Q29)/(AP29))+((R29)/(AQ29))+((S29)/(AR29))+((T29)/(AS29))+((U29)/(AT29))+((V29)/(AU29))+((W29)/(AV29))+((X29)/(AW29))+((Y29)/(AX29))+((Z29)/(AY29)))))</f>
        <v>0</v>
      </c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</row>
    <row r="31" spans="1:51" x14ac:dyDescent="0.25">
      <c r="A31">
        <f>599-B31</f>
        <v>3.7682462006298465</v>
      </c>
      <c r="B31">
        <f>599*B30/100</f>
        <v>595.23175379937015</v>
      </c>
      <c r="C31">
        <f>599*C30/100</f>
        <v>0.27809933240460055</v>
      </c>
      <c r="D31">
        <f t="shared" ref="D31" si="25">599*D30/100</f>
        <v>3.5676484116493414E-2</v>
      </c>
      <c r="E31">
        <f t="shared" ref="E31" si="26">599*E30/100</f>
        <v>0</v>
      </c>
      <c r="F31">
        <f t="shared" ref="F31" si="27">599*F30/100</f>
        <v>0</v>
      </c>
      <c r="G31">
        <f t="shared" ref="G31" si="28">599*G30/100</f>
        <v>0.21566466367109377</v>
      </c>
      <c r="H31">
        <f t="shared" ref="H31" si="29">599*H30/100</f>
        <v>0.20832515092339016</v>
      </c>
      <c r="I31">
        <f t="shared" ref="I31" si="30">599*I30/100</f>
        <v>4.7691076158970391E-2</v>
      </c>
      <c r="J31">
        <f t="shared" ref="J31" si="31">599*J30/100</f>
        <v>0</v>
      </c>
      <c r="K31">
        <f t="shared" ref="K31" si="32">599*K30/100</f>
        <v>1.2159053140585976</v>
      </c>
      <c r="L31">
        <f t="shared" ref="L31" si="33">599*L30/100</f>
        <v>0</v>
      </c>
      <c r="M31">
        <f t="shared" ref="M31" si="34">599*M30/100</f>
        <v>0</v>
      </c>
      <c r="N31">
        <f t="shared" ref="N31" si="35">599*N30/100</f>
        <v>0</v>
      </c>
      <c r="O31">
        <f t="shared" ref="O31" si="36">599*O30/100</f>
        <v>0.37136201071316749</v>
      </c>
      <c r="P31">
        <f t="shared" ref="P31" si="37">599*P30/100</f>
        <v>0</v>
      </c>
      <c r="Q31">
        <f t="shared" ref="Q31" si="38">599*Q30/100</f>
        <v>0</v>
      </c>
      <c r="R31">
        <f t="shared" ref="R31" si="39">599*R30/100</f>
        <v>0</v>
      </c>
      <c r="S31">
        <f t="shared" ref="S31" si="40">599*S30/100</f>
        <v>0</v>
      </c>
      <c r="T31">
        <f t="shared" ref="T31" si="41">599*T30/100</f>
        <v>0</v>
      </c>
      <c r="U31">
        <f t="shared" ref="U31" si="42">599*U30/100</f>
        <v>1.395522168583472</v>
      </c>
      <c r="V31">
        <f t="shared" ref="V31" si="43">599*V30/100</f>
        <v>0</v>
      </c>
      <c r="W31">
        <f t="shared" ref="W31" si="44">599*W30/100</f>
        <v>0</v>
      </c>
      <c r="X31">
        <f t="shared" ref="X31" si="45">599*X30/100</f>
        <v>0</v>
      </c>
      <c r="Y31">
        <f t="shared" ref="Y31" si="46">599*Y30/100</f>
        <v>0</v>
      </c>
      <c r="Z31">
        <f t="shared" ref="Z31" si="47">599*Z30/100</f>
        <v>0</v>
      </c>
    </row>
    <row r="33" spans="1:26" x14ac:dyDescent="0.25">
      <c r="A33">
        <f>B33+C33+D33+E33+F33+G33+H33+I33+J33+K33+L33+M33+N33+O33+P33+Q33+R33+S33+T33+U33+V33+W33+X33+Y33+Z33</f>
        <v>2.8046910761589703</v>
      </c>
      <c r="C33">
        <v>0.13900000000000001</v>
      </c>
      <c r="D33">
        <v>3.7999999999999999E-2</v>
      </c>
      <c r="G33">
        <v>0.1</v>
      </c>
      <c r="H33">
        <v>0.1</v>
      </c>
      <c r="I33">
        <f>I31</f>
        <v>4.7691076158970391E-2</v>
      </c>
      <c r="K33">
        <v>0.62</v>
      </c>
      <c r="O33">
        <v>0.38</v>
      </c>
      <c r="U33">
        <v>1.38</v>
      </c>
    </row>
    <row r="34" spans="1:26" x14ac:dyDescent="0.25">
      <c r="A34" t="s">
        <v>218</v>
      </c>
      <c r="B34">
        <f>K31+O31+U31</f>
        <v>2.982789493355237</v>
      </c>
    </row>
    <row r="35" spans="1:26" x14ac:dyDescent="0.25">
      <c r="A35" t="s">
        <v>219</v>
      </c>
      <c r="B35">
        <f>C31+D31+G31+H31+I31</f>
        <v>0.78545670727454819</v>
      </c>
      <c r="K35">
        <f>3-O33-U33</f>
        <v>1.2400000000000002</v>
      </c>
    </row>
    <row r="36" spans="1:26" x14ac:dyDescent="0.25">
      <c r="B36">
        <f>B34+B35</f>
        <v>3.7682462006297852</v>
      </c>
    </row>
    <row r="38" spans="1:26" ht="15.75" x14ac:dyDescent="0.25"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x14ac:dyDescent="0.25">
      <c r="B39" s="3"/>
      <c r="C39" s="27"/>
      <c r="D39" s="27"/>
      <c r="E39" s="27"/>
      <c r="F39" s="27"/>
      <c r="G39" s="28"/>
      <c r="H39" s="28"/>
      <c r="I39" s="28"/>
      <c r="J39" s="38"/>
      <c r="K39" s="38"/>
      <c r="L39" s="38"/>
      <c r="M39" s="38"/>
      <c r="N39" s="38"/>
      <c r="O39" s="38"/>
    </row>
    <row r="40" spans="1:26" x14ac:dyDescent="0.25">
      <c r="J40" s="150"/>
      <c r="K40" s="150"/>
      <c r="L40" s="150"/>
      <c r="M40" s="150"/>
      <c r="N40" s="150"/>
      <c r="O40" s="150"/>
      <c r="P40" s="150"/>
    </row>
    <row r="41" spans="1:26" x14ac:dyDescent="0.25">
      <c r="B41" t="s">
        <v>200</v>
      </c>
      <c r="C41" s="43">
        <f>C40+G40+H40+I40+D40</f>
        <v>0</v>
      </c>
      <c r="D41">
        <f>C36+D36+E36+F36+G36+H36+I36</f>
        <v>0</v>
      </c>
      <c r="H41" s="44"/>
      <c r="I41" s="44"/>
      <c r="J41" s="44"/>
      <c r="K41" s="44"/>
      <c r="L41" s="44"/>
      <c r="M41" s="44"/>
      <c r="N41" s="44"/>
      <c r="P41" s="49"/>
    </row>
    <row r="42" spans="1:26" ht="15.75" x14ac:dyDescent="0.25">
      <c r="B42" t="s">
        <v>16</v>
      </c>
      <c r="C42" s="47">
        <f>K40+O40</f>
        <v>0</v>
      </c>
      <c r="D42">
        <f>J36+K36+L36+M36+U36+Y36+O36+P36</f>
        <v>0</v>
      </c>
      <c r="K42">
        <v>3</v>
      </c>
      <c r="L42">
        <v>4</v>
      </c>
      <c r="M42">
        <v>5</v>
      </c>
      <c r="N42" s="65">
        <v>6</v>
      </c>
      <c r="O42">
        <v>7</v>
      </c>
      <c r="P42">
        <v>8</v>
      </c>
    </row>
    <row r="43" spans="1:26" x14ac:dyDescent="0.25">
      <c r="C43">
        <f>C41+C42</f>
        <v>0</v>
      </c>
      <c r="D43">
        <f>D41+D42</f>
        <v>0</v>
      </c>
      <c r="F43">
        <f>G40+H40+I40</f>
        <v>0</v>
      </c>
      <c r="K43">
        <f>1/3</f>
        <v>0.33333333333333331</v>
      </c>
      <c r="L43">
        <f>1/4</f>
        <v>0.25</v>
      </c>
      <c r="M43">
        <f>1/5</f>
        <v>0.2</v>
      </c>
      <c r="N43">
        <f t="shared" ref="N43:N48" si="48">1/6</f>
        <v>0.16666666666666666</v>
      </c>
      <c r="O43">
        <f t="shared" ref="O43:O49" si="49">1/7</f>
        <v>0.14285714285714285</v>
      </c>
      <c r="P43">
        <f>1/8</f>
        <v>0.125</v>
      </c>
    </row>
    <row r="44" spans="1:26" x14ac:dyDescent="0.25">
      <c r="K44">
        <f>1/3</f>
        <v>0.33333333333333331</v>
      </c>
      <c r="L44">
        <f>1/4</f>
        <v>0.25</v>
      </c>
      <c r="M44">
        <f t="shared" ref="M44:M47" si="50">1/5</f>
        <v>0.2</v>
      </c>
      <c r="N44">
        <f t="shared" si="48"/>
        <v>0.16666666666666666</v>
      </c>
      <c r="O44">
        <f t="shared" si="49"/>
        <v>0.14285714285714285</v>
      </c>
      <c r="P44">
        <f t="shared" ref="P44:P50" si="51">1/8</f>
        <v>0.125</v>
      </c>
    </row>
    <row r="45" spans="1:26" x14ac:dyDescent="0.25">
      <c r="K45">
        <f>1/3</f>
        <v>0.33333333333333331</v>
      </c>
      <c r="L45">
        <f>1/4</f>
        <v>0.25</v>
      </c>
      <c r="M45">
        <f t="shared" si="50"/>
        <v>0.2</v>
      </c>
      <c r="N45">
        <f t="shared" si="48"/>
        <v>0.16666666666666666</v>
      </c>
      <c r="O45">
        <f t="shared" si="49"/>
        <v>0.14285714285714285</v>
      </c>
      <c r="P45">
        <f t="shared" si="51"/>
        <v>0.125</v>
      </c>
    </row>
    <row r="46" spans="1:26" x14ac:dyDescent="0.25">
      <c r="L46">
        <f>1/4</f>
        <v>0.25</v>
      </c>
      <c r="M46">
        <f t="shared" si="50"/>
        <v>0.2</v>
      </c>
      <c r="N46">
        <f t="shared" si="48"/>
        <v>0.16666666666666666</v>
      </c>
      <c r="O46">
        <f t="shared" si="49"/>
        <v>0.14285714285714285</v>
      </c>
      <c r="P46">
        <f t="shared" si="51"/>
        <v>0.125</v>
      </c>
    </row>
    <row r="47" spans="1:26" x14ac:dyDescent="0.25">
      <c r="M47">
        <f t="shared" si="50"/>
        <v>0.2</v>
      </c>
      <c r="N47">
        <f t="shared" si="48"/>
        <v>0.16666666666666666</v>
      </c>
      <c r="O47">
        <f t="shared" si="49"/>
        <v>0.14285714285714285</v>
      </c>
      <c r="P47">
        <f t="shared" si="51"/>
        <v>0.125</v>
      </c>
    </row>
    <row r="48" spans="1:26" x14ac:dyDescent="0.25">
      <c r="N48">
        <f t="shared" si="48"/>
        <v>0.16666666666666666</v>
      </c>
      <c r="O48">
        <f t="shared" si="49"/>
        <v>0.14285714285714285</v>
      </c>
      <c r="P48">
        <f t="shared" si="51"/>
        <v>0.125</v>
      </c>
    </row>
    <row r="49" spans="2:51" x14ac:dyDescent="0.25">
      <c r="O49">
        <f t="shared" si="49"/>
        <v>0.14285714285714285</v>
      </c>
      <c r="P49">
        <f t="shared" si="51"/>
        <v>0.125</v>
      </c>
    </row>
    <row r="50" spans="2:51" x14ac:dyDescent="0.25">
      <c r="P50">
        <f t="shared" si="51"/>
        <v>0.125</v>
      </c>
    </row>
    <row r="51" spans="2:51" ht="18.75" x14ac:dyDescent="0.3">
      <c r="B51" s="66" t="s">
        <v>14</v>
      </c>
      <c r="C51" s="66" t="s">
        <v>56</v>
      </c>
      <c r="D51" s="66" t="s">
        <v>15</v>
      </c>
      <c r="E51" s="66" t="s">
        <v>8</v>
      </c>
      <c r="F51" s="66" t="s">
        <v>9</v>
      </c>
      <c r="G51" s="66" t="s">
        <v>57</v>
      </c>
      <c r="H51" s="66" t="s">
        <v>58</v>
      </c>
      <c r="I51" s="66" t="s">
        <v>77</v>
      </c>
      <c r="J51" s="66" t="s">
        <v>13</v>
      </c>
      <c r="K51" s="66" t="s">
        <v>16</v>
      </c>
      <c r="L51" s="66" t="s">
        <v>55</v>
      </c>
      <c r="M51" s="66" t="s">
        <v>44</v>
      </c>
      <c r="N51" s="66" t="s">
        <v>43</v>
      </c>
      <c r="O51" s="66" t="s">
        <v>12</v>
      </c>
      <c r="P51" s="66" t="s">
        <v>80</v>
      </c>
      <c r="Q51" s="66" t="s">
        <v>81</v>
      </c>
      <c r="R51" s="66" t="s">
        <v>82</v>
      </c>
      <c r="S51" s="66" t="s">
        <v>83</v>
      </c>
      <c r="T51" s="66" t="s">
        <v>45</v>
      </c>
      <c r="U51" s="66" t="s">
        <v>17</v>
      </c>
      <c r="V51" s="66" t="s">
        <v>204</v>
      </c>
      <c r="W51" s="66" t="s">
        <v>0</v>
      </c>
      <c r="X51" s="66" t="s">
        <v>11</v>
      </c>
      <c r="Y51" s="66" t="s">
        <v>10</v>
      </c>
      <c r="Z51" s="66" t="s">
        <v>46</v>
      </c>
      <c r="AA51" s="67" t="s">
        <v>14</v>
      </c>
      <c r="AB51" s="58" t="s">
        <v>56</v>
      </c>
      <c r="AC51" s="59" t="s">
        <v>15</v>
      </c>
      <c r="AD51" s="60" t="s">
        <v>8</v>
      </c>
      <c r="AE51" s="59" t="s">
        <v>9</v>
      </c>
      <c r="AF51" s="59" t="s">
        <v>57</v>
      </c>
      <c r="AG51" s="60" t="s">
        <v>58</v>
      </c>
      <c r="AH51" s="59" t="s">
        <v>77</v>
      </c>
      <c r="AI51" s="61" t="s">
        <v>204</v>
      </c>
      <c r="AJ51" s="62" t="s">
        <v>16</v>
      </c>
      <c r="AK51" s="62" t="s">
        <v>55</v>
      </c>
      <c r="AL51" s="63" t="s">
        <v>44</v>
      </c>
      <c r="AM51" s="63" t="s">
        <v>10</v>
      </c>
      <c r="AN51" s="62" t="s">
        <v>12</v>
      </c>
      <c r="AO51" s="35" t="s">
        <v>80</v>
      </c>
      <c r="AP51" s="35" t="s">
        <v>81</v>
      </c>
      <c r="AQ51" s="35" t="s">
        <v>82</v>
      </c>
      <c r="AR51" s="35" t="s">
        <v>83</v>
      </c>
      <c r="AS51" s="35" t="s">
        <v>45</v>
      </c>
      <c r="AT51" s="35" t="s">
        <v>17</v>
      </c>
      <c r="AU51" s="61" t="s">
        <v>13</v>
      </c>
      <c r="AV51" s="35" t="s">
        <v>0</v>
      </c>
      <c r="AW51" s="35" t="s">
        <v>11</v>
      </c>
      <c r="AX51" s="35" t="s">
        <v>10</v>
      </c>
      <c r="AY51" s="35" t="s">
        <v>46</v>
      </c>
    </row>
    <row r="52" spans="2:51" ht="18.75" x14ac:dyDescent="0.3">
      <c r="B52" s="36">
        <f>100-C52-D52-E52-F52-G52-H52-I52-J52-K52-L52-M52-N52-O52-P52-Q52-R52-S52-T52-U52-V52-W52-X52-Y52-Z52</f>
        <v>99.16</v>
      </c>
      <c r="C52" s="37">
        <v>0.12</v>
      </c>
      <c r="D52" s="37"/>
      <c r="E52" s="37"/>
      <c r="F52" s="37"/>
      <c r="G52" s="37">
        <v>4.4999999999999998E-2</v>
      </c>
      <c r="H52" s="37">
        <v>4.4999999999999998E-2</v>
      </c>
      <c r="I52" s="37"/>
      <c r="J52" s="37"/>
      <c r="K52" s="37">
        <v>0.6</v>
      </c>
      <c r="L52" s="37"/>
      <c r="M52" s="37"/>
      <c r="N52" s="37"/>
      <c r="O52" s="37">
        <v>0.03</v>
      </c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68">
        <v>55.84</v>
      </c>
      <c r="AB52" s="7">
        <v>12.01</v>
      </c>
      <c r="AC52" s="7">
        <v>28.0855</v>
      </c>
      <c r="AD52" s="7">
        <v>58.693399999999997</v>
      </c>
      <c r="AE52" s="7">
        <v>63.545999999999999</v>
      </c>
      <c r="AF52" s="7">
        <v>30.973762000000001</v>
      </c>
      <c r="AG52" s="7">
        <v>32.064999999999998</v>
      </c>
      <c r="AH52" s="7">
        <v>14.0067</v>
      </c>
      <c r="AI52" s="7">
        <v>10.81</v>
      </c>
      <c r="AJ52" s="7">
        <v>54.938043999999998</v>
      </c>
      <c r="AK52" s="7">
        <v>95.95</v>
      </c>
      <c r="AL52" s="7">
        <v>51.996099999999998</v>
      </c>
      <c r="AM52" s="7">
        <v>58.933194999999998</v>
      </c>
      <c r="AN52" s="7">
        <v>26.981539999999999</v>
      </c>
      <c r="AO52">
        <v>50.941499999999998</v>
      </c>
      <c r="AP52">
        <v>92.906369999999995</v>
      </c>
      <c r="AQ52">
        <v>183.84</v>
      </c>
      <c r="AR52">
        <v>180.94788</v>
      </c>
      <c r="AS52">
        <v>91.224000000000004</v>
      </c>
      <c r="AT52">
        <v>47.866999999999997</v>
      </c>
      <c r="AU52" s="7">
        <v>24.305</v>
      </c>
      <c r="AV52">
        <v>121.76</v>
      </c>
      <c r="AW52" s="7">
        <v>207.2</v>
      </c>
      <c r="AX52" s="7">
        <v>118.71</v>
      </c>
      <c r="AY52" s="7">
        <v>208.9804</v>
      </c>
    </row>
    <row r="53" spans="2:51" ht="18.75" x14ac:dyDescent="0.3">
      <c r="B53" s="36">
        <f>100*((((B52)/(AA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98.618225872374381</v>
      </c>
      <c r="C53" s="36">
        <f>100*((((C52)/(AB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0.55488670017624009</v>
      </c>
      <c r="D53" s="36">
        <f>100*((((D52)/(AC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E53" s="36">
        <f>100*((((E52)/(AD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F53" s="36">
        <f>100*((((F52)/(AE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G53" s="36">
        <f>100*((((G52)/(AF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8.0683482229854456E-2</v>
      </c>
      <c r="H53" s="36">
        <f>100*((((H52)/(AG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7.7937657131412499E-2</v>
      </c>
      <c r="I53" s="36">
        <f>100*((((I52)/(AH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J53" s="36">
        <f>100*((((J52)/(AI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K53" s="36">
        <f>100*((((K52)/(AJ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0.60651861477964553</v>
      </c>
      <c r="L53" s="36">
        <f>100*((((L52)/(AK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M53" s="36">
        <f>100*((((M52)/(AL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N53" s="36">
        <f>100*((((N52)/(AM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O53" s="36">
        <f>100*((((O52)/(AN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6.1747673308460566E-2</v>
      </c>
      <c r="P53" s="36">
        <f>100*((((P52)/(AO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Q53" s="36">
        <f>100*((((Q52)/(AP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R53" s="36">
        <f>100*((((R52)/(AQ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S53" s="36">
        <f>100*((((S52)/(AR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T53" s="36">
        <f>100*((((T52)/(AS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U53" s="36">
        <f>100*((((U52)/(AT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V53" s="36">
        <f>100*((((V52)/(AU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W53" s="36">
        <f>100*((((W52)/(AV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X53" s="7">
        <f>100*((((X52)/(AW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Y53" s="7">
        <f>100*((((Y52)/(AX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Z53" s="7">
        <f>100*((((Z52)/(AY52))/(((B52)/(AA52))+((C52)/(AB52))+((D52)/(AC52))+((E52)/(AD52))+((F52)/(AE52))+((G52)/(AF52))+((H52)/(AG52))+((I52)/(AH52))+((J52)/(AI52))+((K52)/(AJ52))+((L52)/(AK52))+((M52)/(AL52))+((N52)/(AM52))+((O52)/(AN52))+((P52)/(AO52))+((Q52)/(AP52))+((R52)/(AQ52))+((S52)/(AR52))+((T52)/(AS52))+((U52)/(AT52))+((V52)/(AU52))+((W52)/(AV52))+((X52)/(AW52))+((Y52)/(AX52))+((Z52)/(AY52)))))</f>
        <v>0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</row>
    <row r="54" spans="2:51" ht="21" x14ac:dyDescent="0.35">
      <c r="B54" s="3">
        <f>SUM(C54:Z54)</f>
        <v>130.85780000000003</v>
      </c>
      <c r="C54" s="141">
        <v>90</v>
      </c>
      <c r="D54" s="141">
        <v>26</v>
      </c>
      <c r="E54" s="142">
        <v>8</v>
      </c>
      <c r="F54" s="142">
        <v>4</v>
      </c>
      <c r="G54" s="142"/>
      <c r="H54" s="143"/>
      <c r="I54" s="142"/>
      <c r="J54" s="144">
        <v>0.66600000000000004</v>
      </c>
      <c r="K54" s="145">
        <v>1.25</v>
      </c>
      <c r="L54" s="146">
        <v>0.33</v>
      </c>
      <c r="M54" s="145">
        <v>0.1666</v>
      </c>
      <c r="N54" s="147"/>
      <c r="O54" s="144">
        <v>0.25</v>
      </c>
      <c r="P54" s="145">
        <v>0.05</v>
      </c>
      <c r="Q54" s="147"/>
      <c r="R54" s="147"/>
      <c r="S54" s="147"/>
      <c r="T54" s="147"/>
      <c r="U54" s="147">
        <v>0.12089999999999999</v>
      </c>
      <c r="V54" s="147"/>
      <c r="W54" s="147"/>
      <c r="X54" s="147"/>
      <c r="Y54" s="147">
        <v>2.4299999999999999E-2</v>
      </c>
    </row>
    <row r="55" spans="2:51" ht="26.25" x14ac:dyDescent="0.4">
      <c r="B55" s="97" t="s">
        <v>14</v>
      </c>
      <c r="C55" s="97" t="s">
        <v>56</v>
      </c>
      <c r="D55" s="97" t="s">
        <v>15</v>
      </c>
      <c r="E55" s="97" t="s">
        <v>8</v>
      </c>
      <c r="F55" s="97" t="s">
        <v>9</v>
      </c>
      <c r="G55" s="97" t="s">
        <v>57</v>
      </c>
      <c r="H55" s="97" t="s">
        <v>58</v>
      </c>
      <c r="I55" s="97" t="s">
        <v>77</v>
      </c>
      <c r="J55" s="97" t="s">
        <v>13</v>
      </c>
      <c r="K55" s="97" t="s">
        <v>16</v>
      </c>
      <c r="L55" s="97" t="s">
        <v>55</v>
      </c>
      <c r="M55" s="97" t="s">
        <v>44</v>
      </c>
      <c r="N55" s="97" t="s">
        <v>43</v>
      </c>
      <c r="O55" s="97" t="s">
        <v>12</v>
      </c>
      <c r="P55" s="33" t="s">
        <v>80</v>
      </c>
      <c r="Q55" s="33" t="s">
        <v>81</v>
      </c>
      <c r="R55" s="33" t="s">
        <v>82</v>
      </c>
      <c r="S55" s="33" t="s">
        <v>83</v>
      </c>
      <c r="T55" s="33" t="s">
        <v>45</v>
      </c>
      <c r="U55" s="33" t="s">
        <v>17</v>
      </c>
      <c r="V55" s="33" t="s">
        <v>91</v>
      </c>
      <c r="W55" s="33" t="s">
        <v>0</v>
      </c>
      <c r="X55" s="33" t="s">
        <v>11</v>
      </c>
      <c r="Y55" s="33" t="s">
        <v>10</v>
      </c>
      <c r="Z55" s="33" t="s">
        <v>46</v>
      </c>
    </row>
    <row r="56" spans="2:51" ht="15.75" x14ac:dyDescent="0.25">
      <c r="B56" s="3">
        <f>100-SUM(C56:Z56)</f>
        <v>98.618225872374381</v>
      </c>
      <c r="C56" s="6">
        <f>C53</f>
        <v>0.55488670017624009</v>
      </c>
      <c r="D56" s="6">
        <f t="shared" ref="D56:Z56" si="52">D53</f>
        <v>0</v>
      </c>
      <c r="E56" s="6">
        <f t="shared" si="52"/>
        <v>0</v>
      </c>
      <c r="F56" s="6">
        <f t="shared" si="52"/>
        <v>0</v>
      </c>
      <c r="G56" s="6">
        <f t="shared" si="52"/>
        <v>8.0683482229854456E-2</v>
      </c>
      <c r="H56" s="6">
        <f t="shared" si="52"/>
        <v>7.7937657131412499E-2</v>
      </c>
      <c r="I56" s="6">
        <f t="shared" si="52"/>
        <v>0</v>
      </c>
      <c r="J56" s="6">
        <f t="shared" si="52"/>
        <v>0</v>
      </c>
      <c r="K56" s="6">
        <f t="shared" si="52"/>
        <v>0.60651861477964553</v>
      </c>
      <c r="L56" s="6">
        <f t="shared" si="52"/>
        <v>0</v>
      </c>
      <c r="M56" s="6">
        <f t="shared" si="52"/>
        <v>0</v>
      </c>
      <c r="N56" s="6">
        <f t="shared" si="52"/>
        <v>0</v>
      </c>
      <c r="O56" s="6">
        <f t="shared" si="52"/>
        <v>6.1747673308460566E-2</v>
      </c>
      <c r="P56" s="6">
        <f t="shared" si="52"/>
        <v>0</v>
      </c>
      <c r="Q56" s="6">
        <f t="shared" si="52"/>
        <v>0</v>
      </c>
      <c r="R56" s="6">
        <f t="shared" si="52"/>
        <v>0</v>
      </c>
      <c r="S56" s="6">
        <f t="shared" si="52"/>
        <v>0</v>
      </c>
      <c r="T56" s="6">
        <f t="shared" si="52"/>
        <v>0</v>
      </c>
      <c r="U56" s="6">
        <f t="shared" si="52"/>
        <v>0</v>
      </c>
      <c r="V56" s="6">
        <f t="shared" si="52"/>
        <v>0</v>
      </c>
      <c r="W56" s="6">
        <f t="shared" si="52"/>
        <v>0</v>
      </c>
      <c r="X56" s="6">
        <f t="shared" si="52"/>
        <v>0</v>
      </c>
      <c r="Y56" s="6">
        <f t="shared" si="52"/>
        <v>0</v>
      </c>
      <c r="Z56" s="6">
        <f t="shared" si="52"/>
        <v>0</v>
      </c>
    </row>
    <row r="57" spans="2:51" ht="15.75" x14ac:dyDescent="0.25">
      <c r="B57" s="3"/>
      <c r="C57" s="27">
        <f>B56/C56</f>
        <v>177.72677889207256</v>
      </c>
      <c r="D57" s="27" t="e">
        <f>B56/D56</f>
        <v>#DIV/0!</v>
      </c>
      <c r="E57" s="27" t="e">
        <f>B56/E56</f>
        <v>#DIV/0!</v>
      </c>
      <c r="F57" s="27" t="e">
        <f>B56/F56</f>
        <v>#DIV/0!</v>
      </c>
      <c r="G57" s="28">
        <f>B56/G56</f>
        <v>1222.2851957656796</v>
      </c>
      <c r="H57" s="28">
        <f>B56/H56</f>
        <v>1265.347580388411</v>
      </c>
      <c r="I57" s="28" t="e">
        <f>B56/I56</f>
        <v>#DIV/0!</v>
      </c>
      <c r="J57" s="38" t="e">
        <f>B56/J56</f>
        <v>#DIV/0!</v>
      </c>
      <c r="K57" s="38">
        <f>B56/K56</f>
        <v>162.59719564947466</v>
      </c>
      <c r="L57" s="38" t="e">
        <f>B56/L56</f>
        <v>#DIV/0!</v>
      </c>
      <c r="M57" s="38" t="e">
        <f>B56/M56</f>
        <v>#DIV/0!</v>
      </c>
      <c r="N57" s="38" t="e">
        <f>B56/N56</f>
        <v>#DIV/0!</v>
      </c>
      <c r="O57" s="38">
        <f>B56/O56</f>
        <v>1597.1164675262651</v>
      </c>
      <c r="P57" t="e">
        <f>B56/P56</f>
        <v>#DIV/0!</v>
      </c>
      <c r="Q57" t="e">
        <f>B56/Q56</f>
        <v>#DIV/0!</v>
      </c>
      <c r="R57" t="e">
        <f>B56/R56</f>
        <v>#DIV/0!</v>
      </c>
      <c r="S57" t="e">
        <f>B56/S56</f>
        <v>#DIV/0!</v>
      </c>
      <c r="T57" t="e">
        <f>B56/T56</f>
        <v>#DIV/0!</v>
      </c>
      <c r="U57" t="e">
        <f>B56/U56</f>
        <v>#DIV/0!</v>
      </c>
      <c r="V57" t="e">
        <f>B56/V56</f>
        <v>#DIV/0!</v>
      </c>
      <c r="W57" t="e">
        <f>B56/W56</f>
        <v>#DIV/0!</v>
      </c>
      <c r="X57" t="e">
        <f>B56/X56</f>
        <v>#DIV/0!</v>
      </c>
      <c r="Y57" t="e">
        <f>B56/Y56</f>
        <v>#DIV/0!</v>
      </c>
      <c r="Z57" t="e">
        <f t="shared" ref="Z57" si="53">L56/Z56</f>
        <v>#DIV/0!</v>
      </c>
    </row>
    <row r="58" spans="2:51" x14ac:dyDescent="0.25">
      <c r="C58">
        <f>599*B56/100/C57</f>
        <v>3.323771334055678</v>
      </c>
      <c r="D58" t="e">
        <f>599*B56/100/D57</f>
        <v>#DIV/0!</v>
      </c>
      <c r="E58" t="e">
        <f>599*B56/100/E57</f>
        <v>#DIV/0!</v>
      </c>
      <c r="F58" t="e">
        <f>599*B56/100/F57</f>
        <v>#DIV/0!</v>
      </c>
      <c r="G58">
        <f>599*B56/100/G57</f>
        <v>0.48329405855682811</v>
      </c>
      <c r="H58">
        <f>599*B56/100/H57</f>
        <v>0.46684656621716081</v>
      </c>
      <c r="I58" t="e">
        <f>599*B56/100/I57</f>
        <v>#DIV/0!</v>
      </c>
      <c r="J58" s="150" t="e">
        <f>599*B56/100/J57</f>
        <v>#DIV/0!</v>
      </c>
      <c r="K58" s="150">
        <f>599*B56/100/K57</f>
        <v>3.6330465025300769</v>
      </c>
      <c r="L58" s="150" t="e">
        <f>599*B56/100/L57</f>
        <v>#DIV/0!</v>
      </c>
      <c r="M58" s="150" t="e">
        <f>599*B56/100/M57</f>
        <v>#DIV/0!</v>
      </c>
      <c r="N58" s="150" t="e">
        <f>599*B56/100/N57</f>
        <v>#DIV/0!</v>
      </c>
      <c r="O58" s="150">
        <f>599*B56/100/O57</f>
        <v>0.36986856311767874</v>
      </c>
      <c r="P58" s="150" t="e">
        <f>599*B56/100/P57</f>
        <v>#DIV/0!</v>
      </c>
      <c r="Q58" t="e">
        <f>599*B56/100/Q57</f>
        <v>#DIV/0!</v>
      </c>
      <c r="R58" t="e">
        <f>599*B56/100/R57</f>
        <v>#DIV/0!</v>
      </c>
      <c r="S58" t="e">
        <f>599*B56/100/S57</f>
        <v>#DIV/0!</v>
      </c>
      <c r="T58" t="e">
        <f>599*B56/100/T57</f>
        <v>#DIV/0!</v>
      </c>
      <c r="U58" t="e">
        <f>599*B56/100/U57</f>
        <v>#DIV/0!</v>
      </c>
      <c r="V58" t="e">
        <f>599*B56/100/V57</f>
        <v>#DIV/0!</v>
      </c>
      <c r="W58" t="e">
        <f>599*B56/100/W57</f>
        <v>#DIV/0!</v>
      </c>
      <c r="X58" t="e">
        <f>599*B56/100/X57</f>
        <v>#DIV/0!</v>
      </c>
      <c r="Y58" t="e">
        <f>599*B56/100/Y57</f>
        <v>#DIV/0!</v>
      </c>
      <c r="Z58" t="e">
        <f>599*B56/100/Z57</f>
        <v>#DIV/0!</v>
      </c>
    </row>
    <row r="59" spans="2:51" x14ac:dyDescent="0.25">
      <c r="B59" t="s">
        <v>200</v>
      </c>
      <c r="C59" s="43">
        <f>C58+G58+H58</f>
        <v>4.2739119588296672</v>
      </c>
      <c r="D59">
        <f>C54+D54+E54+F54+G54+H54+I54</f>
        <v>128</v>
      </c>
      <c r="H59" s="44"/>
      <c r="I59" s="44"/>
      <c r="J59" s="44"/>
      <c r="K59" s="44"/>
      <c r="L59" s="44"/>
      <c r="M59" s="44"/>
      <c r="N59" s="44"/>
      <c r="P59" s="49"/>
    </row>
    <row r="60" spans="2:51" ht="15.75" x14ac:dyDescent="0.25">
      <c r="C60" s="47">
        <f>K58+O58</f>
        <v>4.0029150656477555</v>
      </c>
      <c r="D60">
        <f>J54+K54+L54+M54+U54+Y54+O54+P54</f>
        <v>2.8577999999999997</v>
      </c>
      <c r="K60">
        <v>3</v>
      </c>
      <c r="L60">
        <v>4</v>
      </c>
      <c r="M60">
        <v>5</v>
      </c>
      <c r="N60" s="65">
        <v>6</v>
      </c>
      <c r="O60">
        <v>7</v>
      </c>
      <c r="P60">
        <v>8</v>
      </c>
    </row>
    <row r="61" spans="2:51" x14ac:dyDescent="0.25">
      <c r="C61">
        <f>C59+C60</f>
        <v>8.2768270244774236</v>
      </c>
      <c r="D61">
        <f>D59+D60</f>
        <v>130.8578</v>
      </c>
      <c r="F61" t="e">
        <f>G58+H58+I58</f>
        <v>#DIV/0!</v>
      </c>
      <c r="K61">
        <f>1/3</f>
        <v>0.33333333333333331</v>
      </c>
      <c r="L61">
        <f>1/4</f>
        <v>0.25</v>
      </c>
      <c r="M61">
        <f>1/5</f>
        <v>0.2</v>
      </c>
      <c r="N61">
        <f t="shared" ref="N61:N63" si="54">1/6</f>
        <v>0.16666666666666666</v>
      </c>
      <c r="O61">
        <f t="shared" ref="O61:O63" si="55">1/7</f>
        <v>0.14285714285714285</v>
      </c>
      <c r="P61">
        <f>1/8</f>
        <v>0.125</v>
      </c>
    </row>
    <row r="62" spans="2:51" ht="15.75" x14ac:dyDescent="0.25">
      <c r="H62" s="5">
        <v>1</v>
      </c>
      <c r="I62" s="30">
        <f>H62*100/599</f>
        <v>0.1669449081803005</v>
      </c>
      <c r="K62">
        <f>1/3</f>
        <v>0.33333333333333331</v>
      </c>
      <c r="L62">
        <f>1/4</f>
        <v>0.25</v>
      </c>
      <c r="M62">
        <f t="shared" ref="M62:M63" si="56">1/5</f>
        <v>0.2</v>
      </c>
      <c r="N62">
        <f t="shared" si="54"/>
        <v>0.16666666666666666</v>
      </c>
      <c r="O62">
        <f t="shared" si="55"/>
        <v>0.14285714285714285</v>
      </c>
      <c r="P62">
        <f t="shared" ref="P62:P63" si="57">1/8</f>
        <v>0.125</v>
      </c>
    </row>
    <row r="63" spans="2:51" ht="15.75" x14ac:dyDescent="0.25">
      <c r="B63" t="s">
        <v>170</v>
      </c>
      <c r="C63" t="e">
        <f>C58+D58</f>
        <v>#DIV/0!</v>
      </c>
      <c r="E63">
        <f>120-D54-E54-F54-G54-H54-I54</f>
        <v>82</v>
      </c>
      <c r="G63" s="5">
        <v>2</v>
      </c>
      <c r="H63" s="5">
        <v>0.5</v>
      </c>
      <c r="I63" s="30">
        <f t="shared" ref="I63" si="58">H63*100/599</f>
        <v>8.347245409015025E-2</v>
      </c>
      <c r="K63">
        <f>1/3</f>
        <v>0.33333333333333331</v>
      </c>
      <c r="L63">
        <f>1/4</f>
        <v>0.25</v>
      </c>
      <c r="M63">
        <f t="shared" si="56"/>
        <v>0.2</v>
      </c>
      <c r="N63">
        <f t="shared" si="54"/>
        <v>0.16666666666666666</v>
      </c>
      <c r="O63">
        <f t="shared" si="55"/>
        <v>0.14285714285714285</v>
      </c>
      <c r="P63">
        <f t="shared" si="57"/>
        <v>0.125</v>
      </c>
    </row>
  </sheetData>
  <phoneticPr fontId="61" type="noConversion"/>
  <conditionalFormatting sqref="B4:L4">
    <cfRule type="expression" dxfId="13" priority="1">
      <formula>OR(B4&lt;B5, B4&gt;B6)</formula>
    </cfRule>
  </conditionalFormatting>
  <conditionalFormatting sqref="C4 J4:K4">
    <cfRule type="expression" dxfId="12" priority="13">
      <formula>OR(C5&gt;C4, C6&lt;C4)</formula>
    </cfRule>
  </conditionalFormatting>
  <conditionalFormatting sqref="F4">
    <cfRule type="expression" dxfId="11" priority="14">
      <formula>OR(F5&gt;F4, F6&lt;F4)</formula>
    </cfRule>
  </conditionalFormatting>
  <conditionalFormatting sqref="M4:N4">
    <cfRule type="expression" dxfId="10" priority="61">
      <formula>OR(M4&lt;M5, M4&gt;#REF!)</formula>
    </cfRule>
  </conditionalFormatting>
  <conditionalFormatting sqref="O4:Z4">
    <cfRule type="expression" dxfId="9" priority="11">
      <formula>OR(O4&lt;O5, O4&gt;O6)</formula>
    </cfRule>
  </conditionalFormatting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534B-E141-4DC7-B6F8-85BD21CA47E6}">
  <dimension ref="A1:AY56"/>
  <sheetViews>
    <sheetView topLeftCell="M25" zoomScale="89" zoomScaleNormal="89" workbookViewId="0">
      <selection activeCell="AA54" sqref="AA54:AY55"/>
    </sheetView>
  </sheetViews>
  <sheetFormatPr baseColWidth="10" defaultRowHeight="15" x14ac:dyDescent="0.25"/>
  <cols>
    <col min="1" max="1" width="15.85546875" customWidth="1"/>
    <col min="4" max="4" width="13.5703125" customWidth="1"/>
    <col min="5" max="5" width="12.5703125" customWidth="1"/>
    <col min="6" max="6" width="13.5703125" customWidth="1"/>
  </cols>
  <sheetData>
    <row r="1" spans="1:51" ht="18.75" x14ac:dyDescent="0.3">
      <c r="A1" s="210" t="s">
        <v>14</v>
      </c>
      <c r="B1" s="210" t="s">
        <v>15</v>
      </c>
      <c r="C1" s="210" t="s">
        <v>8</v>
      </c>
      <c r="D1" s="210" t="s">
        <v>9</v>
      </c>
      <c r="E1" s="210" t="s">
        <v>234</v>
      </c>
      <c r="F1" s="210" t="s">
        <v>56</v>
      </c>
      <c r="G1" s="210" t="s">
        <v>57</v>
      </c>
      <c r="H1" s="210" t="s">
        <v>58</v>
      </c>
      <c r="I1" s="210" t="s">
        <v>77</v>
      </c>
      <c r="J1" s="210" t="s">
        <v>204</v>
      </c>
      <c r="K1" s="210" t="s">
        <v>16</v>
      </c>
      <c r="L1" s="210" t="s">
        <v>12</v>
      </c>
      <c r="M1" s="210" t="s">
        <v>44</v>
      </c>
      <c r="N1" s="210" t="s">
        <v>55</v>
      </c>
      <c r="O1" s="210" t="s">
        <v>17</v>
      </c>
      <c r="P1" s="210" t="s">
        <v>80</v>
      </c>
      <c r="Q1" s="210" t="s">
        <v>81</v>
      </c>
      <c r="R1" s="210" t="s">
        <v>82</v>
      </c>
      <c r="S1" s="210" t="s">
        <v>83</v>
      </c>
      <c r="T1" s="210" t="s">
        <v>45</v>
      </c>
      <c r="U1" s="210" t="s">
        <v>43</v>
      </c>
      <c r="V1" s="210" t="s">
        <v>13</v>
      </c>
      <c r="W1" s="210" t="s">
        <v>0</v>
      </c>
      <c r="X1" s="210" t="s">
        <v>11</v>
      </c>
      <c r="Y1" s="210" t="s">
        <v>10</v>
      </c>
      <c r="Z1" s="211" t="s">
        <v>14</v>
      </c>
      <c r="AA1" s="212" t="s">
        <v>15</v>
      </c>
      <c r="AB1" s="213" t="s">
        <v>8</v>
      </c>
      <c r="AC1" s="214" t="s">
        <v>9</v>
      </c>
      <c r="AD1" s="213" t="s">
        <v>234</v>
      </c>
      <c r="AE1" s="213" t="s">
        <v>56</v>
      </c>
      <c r="AF1" s="214" t="s">
        <v>57</v>
      </c>
      <c r="AG1" s="213" t="s">
        <v>58</v>
      </c>
      <c r="AH1" s="215" t="s">
        <v>77</v>
      </c>
      <c r="AI1" s="216" t="s">
        <v>204</v>
      </c>
      <c r="AJ1" s="216" t="s">
        <v>16</v>
      </c>
      <c r="AK1" s="210" t="s">
        <v>13</v>
      </c>
      <c r="AL1" s="215" t="s">
        <v>44</v>
      </c>
      <c r="AM1" s="216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12</v>
      </c>
      <c r="AV1" s="210" t="s">
        <v>0</v>
      </c>
      <c r="AW1" s="210" t="s">
        <v>11</v>
      </c>
      <c r="AX1" s="210" t="s">
        <v>10</v>
      </c>
      <c r="AY1" s="35"/>
    </row>
    <row r="2" spans="1:51" ht="18.75" x14ac:dyDescent="0.3">
      <c r="A2" s="36">
        <f>100-B2-C2-D2-E2-F2-G2-H2-I2-J2-K2-L2-M2-N2-O2-P2-Q2-R2-S2-T2-U2-V2-W2-X2-Y2</f>
        <v>94.328499999999991</v>
      </c>
      <c r="B2" s="37">
        <f>'OK OK'!C4</f>
        <v>0.89</v>
      </c>
      <c r="C2" s="37">
        <f>'OK OK'!D4</f>
        <v>1.43</v>
      </c>
      <c r="D2" s="37">
        <f>'OK OK'!E4</f>
        <v>0</v>
      </c>
      <c r="E2" s="37">
        <f>'OK OK'!F4</f>
        <v>0</v>
      </c>
      <c r="F2" s="37">
        <f>'OK OK'!G4</f>
        <v>0.2</v>
      </c>
      <c r="G2" s="37">
        <f>'OK OK'!H4</f>
        <v>5.0000000000000001E-3</v>
      </c>
      <c r="H2" s="37">
        <f>'OK OK'!I4</f>
        <v>1E-3</v>
      </c>
      <c r="I2" s="37">
        <f>'OK OK'!J4</f>
        <v>1E-3</v>
      </c>
      <c r="J2" s="37">
        <f>'OK OK'!K4</f>
        <v>1.5E-3</v>
      </c>
      <c r="K2" s="37">
        <f>'OK OK'!L4</f>
        <v>1.6</v>
      </c>
      <c r="L2" s="37">
        <f>'OK OK'!M4</f>
        <v>1E-3</v>
      </c>
      <c r="M2" s="37">
        <f>'OK OK'!N4</f>
        <v>1.3</v>
      </c>
      <c r="N2" s="37">
        <f>'OK OK'!O4</f>
        <v>0.19</v>
      </c>
      <c r="O2" s="37">
        <f>'OK OK'!P4</f>
        <v>0</v>
      </c>
      <c r="P2" s="37">
        <f>'OK OK'!Q4</f>
        <v>5.1999999999999998E-2</v>
      </c>
      <c r="Q2" s="37">
        <f>'OK OK'!R4</f>
        <v>0</v>
      </c>
      <c r="R2" s="37">
        <f>'OK OK'!S4</f>
        <v>0</v>
      </c>
      <c r="S2" s="37">
        <f>'OK OK'!T4</f>
        <v>0</v>
      </c>
      <c r="T2" s="37">
        <f>'OK OK'!U4</f>
        <v>0</v>
      </c>
      <c r="U2" s="37">
        <f>'OK OK'!V4</f>
        <v>0</v>
      </c>
      <c r="V2" s="37">
        <f>'OK OK'!W4</f>
        <v>0</v>
      </c>
      <c r="W2" s="37">
        <f>'OK OK'!X4</f>
        <v>0</v>
      </c>
      <c r="X2" s="37">
        <f>'OK OK'!Y4</f>
        <v>0</v>
      </c>
      <c r="Y2" s="37">
        <f>'OK OK'!Z4</f>
        <v>0</v>
      </c>
      <c r="Z2" s="219">
        <v>55.84</v>
      </c>
      <c r="AA2" s="219">
        <v>28.0855</v>
      </c>
      <c r="AB2" s="219">
        <v>58.693399999999997</v>
      </c>
      <c r="AC2" s="219">
        <v>63.545999999999999</v>
      </c>
      <c r="AD2" s="219">
        <v>65.38</v>
      </c>
      <c r="AE2" s="219">
        <v>12.01</v>
      </c>
      <c r="AF2" s="219">
        <v>30.973762000000001</v>
      </c>
      <c r="AG2" s="219">
        <v>32.064999999999998</v>
      </c>
      <c r="AH2" s="219">
        <v>14.0067</v>
      </c>
      <c r="AI2" s="219">
        <v>10.81</v>
      </c>
      <c r="AJ2" s="219">
        <v>54.938043999999998</v>
      </c>
      <c r="AK2" s="219">
        <v>24.305</v>
      </c>
      <c r="AL2" s="219">
        <v>51.996099999999998</v>
      </c>
      <c r="AM2" s="219">
        <v>95.95</v>
      </c>
      <c r="AN2" s="220">
        <v>47.866999999999997</v>
      </c>
      <c r="AO2" s="220">
        <v>50.941499999999998</v>
      </c>
      <c r="AP2" s="220">
        <v>92.906369999999995</v>
      </c>
      <c r="AQ2" s="220">
        <v>183.84</v>
      </c>
      <c r="AR2" s="220">
        <v>180.94788</v>
      </c>
      <c r="AS2" s="220">
        <v>91.224000000000004</v>
      </c>
      <c r="AT2" s="220">
        <v>58.933194999999998</v>
      </c>
      <c r="AU2" s="220">
        <v>26.981539999999999</v>
      </c>
      <c r="AV2" s="219">
        <v>121.76</v>
      </c>
      <c r="AW2" s="219">
        <v>207.2</v>
      </c>
      <c r="AX2" s="219">
        <v>118.71</v>
      </c>
      <c r="AY2" s="7"/>
    </row>
    <row r="3" spans="1:51" ht="18.75" x14ac:dyDescent="0.3">
      <c r="A3" s="36">
        <f>100*((((A2)/(Z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92.840162287943627</v>
      </c>
      <c r="B3" s="36">
        <f>100*((((B2)/(AA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1.741591189035695</v>
      </c>
      <c r="C3" s="36">
        <f>100*((((C2)/(AB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1.3390140731654472</v>
      </c>
      <c r="D3" s="36">
        <f>100*((((D2)/(AC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E3" s="36">
        <f>100*((((E2)/(AD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F3" s="36">
        <f>100*((((F2)/(AE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0.91521970155323784</v>
      </c>
      <c r="G3" s="36">
        <f>100*((((G2)/(AF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8.8718546811123438E-3</v>
      </c>
      <c r="H3" s="36">
        <f>100*((((H2)/(AG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1.7139854382745025E-3</v>
      </c>
      <c r="I3" s="36">
        <f>100*((((I2)/(AH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3.9237609914021089E-3</v>
      </c>
      <c r="J3" s="36">
        <f>100*((((J2)/(AI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7.6261253115085933E-3</v>
      </c>
      <c r="K3" s="36">
        <f>100*((((K2)/(AJ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1.6006086588236572</v>
      </c>
      <c r="L3" s="36">
        <f>100*((((L2)/(AK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2.2612196288118464E-3</v>
      </c>
      <c r="M3" s="36">
        <f>100*((((M2)/(AL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1.3740766327042508</v>
      </c>
      <c r="N3" s="36">
        <f>100*((((N2)/(AM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0.10882959025400381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P3" s="36">
        <f>100*((((P2)/(AO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5.6100920468972061E-2</v>
      </c>
      <c r="Q3" s="36">
        <f>100*((((Q2)/(AP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R3" s="36">
        <f>100*((((R2)/(AQ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S3" s="36">
        <f>100*((((S2)/(AR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T3" s="36">
        <f>100*((((T2)/(AS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U3" s="36">
        <f>100*((((U2)/(AT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V3" s="36">
        <f>100*((((V2)/(AU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W3" s="7">
        <f>100*((((W2)/(AV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X3" s="7">
        <f>100*((((X2)/(AW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Y3" s="7">
        <f>100*((((Y2)/(AX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51" ht="15.75" x14ac:dyDescent="0.25">
      <c r="A4" s="8" t="s">
        <v>18</v>
      </c>
      <c r="B4" s="9">
        <v>111</v>
      </c>
    </row>
    <row r="5" spans="1:51" ht="15.75" x14ac:dyDescent="0.25">
      <c r="A5" s="8" t="s">
        <v>19</v>
      </c>
      <c r="B5" s="9" t="s">
        <v>79</v>
      </c>
      <c r="C5" s="10"/>
    </row>
    <row r="6" spans="1:51" ht="15.75" x14ac:dyDescent="0.25">
      <c r="A6" s="8" t="s">
        <v>20</v>
      </c>
      <c r="B6" s="9">
        <f>'OK OK'!B13</f>
        <v>1000</v>
      </c>
      <c r="D6" s="8" t="s">
        <v>21</v>
      </c>
      <c r="E6" s="11" t="e">
        <f>IF(J33&gt;1,J33,"")</f>
        <v>#DIV/0!</v>
      </c>
      <c r="F6" s="12" t="s">
        <v>22</v>
      </c>
      <c r="G6" t="e">
        <f>E6/B6</f>
        <v>#DIV/0!</v>
      </c>
    </row>
    <row r="7" spans="1:51" ht="15.75" x14ac:dyDescent="0.25">
      <c r="A7" s="3"/>
      <c r="B7" t="s">
        <v>50</v>
      </c>
      <c r="C7" t="s">
        <v>51</v>
      </c>
    </row>
    <row r="8" spans="1:51" ht="18.75" x14ac:dyDescent="0.3">
      <c r="A8" s="3"/>
      <c r="B8" s="13" t="s">
        <v>23</v>
      </c>
      <c r="C8" s="13" t="s">
        <v>24</v>
      </c>
      <c r="D8" s="13" t="s">
        <v>25</v>
      </c>
      <c r="E8" s="19" t="s">
        <v>38</v>
      </c>
      <c r="F8" s="13" t="s">
        <v>25</v>
      </c>
      <c r="G8" s="10"/>
      <c r="H8" s="14" t="s">
        <v>26</v>
      </c>
      <c r="I8" s="14" t="s">
        <v>27</v>
      </c>
      <c r="J8" s="14" t="s">
        <v>28</v>
      </c>
      <c r="K8" s="14" t="s">
        <v>29</v>
      </c>
      <c r="Z8" s="57"/>
      <c r="AA8" s="58"/>
      <c r="AB8" s="59"/>
      <c r="AC8" s="60"/>
      <c r="AD8" s="59"/>
      <c r="AE8" s="59"/>
      <c r="AF8" s="60"/>
      <c r="AG8" s="59"/>
      <c r="AH8" s="61"/>
      <c r="AI8" s="62"/>
      <c r="AJ8" s="62"/>
      <c r="AK8" s="63"/>
      <c r="AL8" s="63"/>
      <c r="AM8" s="62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</row>
    <row r="9" spans="1:51" ht="18.75" x14ac:dyDescent="0.3">
      <c r="A9" s="66" t="s">
        <v>14</v>
      </c>
      <c r="B9" s="15">
        <f>TEOR.EQ_A_G_9!A3</f>
        <v>100</v>
      </c>
      <c r="C9" s="15">
        <f>TIG.EQ_At_G_1!A3</f>
        <v>94.332432355284283</v>
      </c>
      <c r="D9" s="16" t="e">
        <f>IF(K9&gt;0,K9,"")</f>
        <v>#DIV/0!</v>
      </c>
      <c r="E9" s="13" t="s">
        <v>56</v>
      </c>
      <c r="F9" s="20" t="e">
        <f t="shared" ref="F9:F12" si="0">D9</f>
        <v>#DIV/0!</v>
      </c>
      <c r="G9" s="90"/>
      <c r="H9" s="91" t="e">
        <f t="shared" ref="H9:H32" si="1">IF(B9&gt;0,$J$33*B9/100,"")</f>
        <v>#DIV/0!</v>
      </c>
      <c r="I9" s="91">
        <f>IF(C9&gt;0,$B$6*C9/100,"")</f>
        <v>943.32432355284288</v>
      </c>
      <c r="J9" s="91">
        <f>IF(B9&gt;0,I9/B9*100,"")</f>
        <v>943.324323552843</v>
      </c>
      <c r="K9" s="91" t="e">
        <f t="shared" ref="K9:K31" si="2">IF(H9&gt;H41,(H9-I9),"")</f>
        <v>#DIV/0!</v>
      </c>
      <c r="M9">
        <v>1</v>
      </c>
      <c r="O9" s="154" t="e">
        <f>D9</f>
        <v>#DIV/0!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V9" s="7"/>
      <c r="AW9" s="7"/>
      <c r="AX9" s="7"/>
    </row>
    <row r="10" spans="1:51" ht="18" x14ac:dyDescent="0.25">
      <c r="A10" s="66" t="s">
        <v>15</v>
      </c>
      <c r="B10" s="15">
        <f>TEOR.EQ_A_G_9!B3</f>
        <v>0</v>
      </c>
      <c r="C10" s="15">
        <f>TIG.EQ_At_G_1!B3</f>
        <v>0.89003710221410315</v>
      </c>
      <c r="D10" s="16" t="str">
        <f>IF(K10&gt;0,K10,"")</f>
        <v/>
      </c>
      <c r="E10" s="13" t="s">
        <v>16</v>
      </c>
      <c r="F10" s="20" t="e">
        <f>D10*5</f>
        <v>#VALUE!</v>
      </c>
      <c r="G10" s="90"/>
      <c r="H10" s="91" t="str">
        <f t="shared" si="1"/>
        <v/>
      </c>
      <c r="I10" s="91">
        <f t="shared" ref="I10:I16" si="3">IF(C10&gt;0,$B$6*C10/100,"")</f>
        <v>8.9003710221410319</v>
      </c>
      <c r="J10" s="91" t="str">
        <f>IF(B10&gt;0,I10/B10*100,"")</f>
        <v/>
      </c>
      <c r="K10" s="91" t="str">
        <f t="shared" si="2"/>
        <v/>
      </c>
      <c r="M10">
        <v>2</v>
      </c>
      <c r="O10" s="154" t="str">
        <f>D10</f>
        <v/>
      </c>
    </row>
    <row r="11" spans="1:51" ht="18" x14ac:dyDescent="0.25">
      <c r="A11" s="66" t="s">
        <v>8</v>
      </c>
      <c r="B11" s="15">
        <f>TEOR.EQ_A_G_9!C3</f>
        <v>0</v>
      </c>
      <c r="C11" s="15">
        <f>TIG.EQ_At_G_1!C3</f>
        <v>1.4300596136698511</v>
      </c>
      <c r="D11" s="16" t="str">
        <f t="shared" ref="D11:D32" si="4">IF(K11&gt;0,K11,"")</f>
        <v/>
      </c>
      <c r="E11" s="13" t="s">
        <v>13</v>
      </c>
      <c r="F11" s="20" t="str">
        <f t="shared" si="0"/>
        <v/>
      </c>
      <c r="G11" s="90"/>
      <c r="H11" s="91" t="str">
        <f t="shared" si="1"/>
        <v/>
      </c>
      <c r="I11" s="91">
        <f t="shared" si="3"/>
        <v>14.300596136698511</v>
      </c>
      <c r="J11" s="91" t="str">
        <f>IF(B11&gt;0,I11/B11*100,"")</f>
        <v/>
      </c>
      <c r="K11" s="91" t="str">
        <f t="shared" si="2"/>
        <v/>
      </c>
      <c r="M11">
        <v>3</v>
      </c>
      <c r="O11" s="154" t="str">
        <f>D11</f>
        <v/>
      </c>
    </row>
    <row r="12" spans="1:51" ht="18" x14ac:dyDescent="0.25">
      <c r="A12" s="66" t="s">
        <v>9</v>
      </c>
      <c r="B12" s="15">
        <f>TEOR.EQ_A_G_9!D3</f>
        <v>0</v>
      </c>
      <c r="C12" s="15">
        <f>TIG.EQ_At_G_1!D3</f>
        <v>0</v>
      </c>
      <c r="D12" s="16" t="str">
        <f t="shared" si="4"/>
        <v/>
      </c>
      <c r="E12" s="13" t="s">
        <v>15</v>
      </c>
      <c r="F12" s="20" t="str">
        <f t="shared" si="0"/>
        <v/>
      </c>
      <c r="G12" s="90"/>
      <c r="H12" s="91" t="str">
        <f t="shared" si="1"/>
        <v/>
      </c>
      <c r="I12" s="91" t="str">
        <f>IF(C12&gt;0,$B$6*C12/100,"")</f>
        <v/>
      </c>
      <c r="J12" s="91" t="str">
        <f>IF(B12&gt;0,I12/B12*100,"")</f>
        <v/>
      </c>
      <c r="K12" s="91" t="str">
        <f t="shared" si="2"/>
        <v/>
      </c>
      <c r="M12">
        <v>4</v>
      </c>
      <c r="O12" s="154" t="str">
        <f>D17</f>
        <v/>
      </c>
    </row>
    <row r="13" spans="1:51" ht="18" x14ac:dyDescent="0.25">
      <c r="A13" s="66" t="s">
        <v>234</v>
      </c>
      <c r="B13" s="15">
        <f>TEOR.EQ_A_G_9!E3</f>
        <v>0</v>
      </c>
      <c r="C13" s="15">
        <f>TIG.EQ_At_G_1!E3</f>
        <v>0</v>
      </c>
      <c r="D13" s="16" t="str">
        <f t="shared" si="4"/>
        <v/>
      </c>
      <c r="E13" s="13" t="s">
        <v>17</v>
      </c>
      <c r="F13" s="20" t="e">
        <f>D13*10</f>
        <v>#VALUE!</v>
      </c>
      <c r="G13" s="90"/>
      <c r="H13" s="91" t="str">
        <f t="shared" si="1"/>
        <v/>
      </c>
      <c r="I13" s="91" t="str">
        <f t="shared" si="3"/>
        <v/>
      </c>
      <c r="J13" s="91" t="str">
        <f>IF(B13&gt;0,I13/B13*100,"")</f>
        <v/>
      </c>
      <c r="K13" s="91" t="str">
        <f t="shared" si="2"/>
        <v/>
      </c>
      <c r="M13">
        <v>5</v>
      </c>
      <c r="O13" s="154" t="str">
        <f>D18</f>
        <v/>
      </c>
    </row>
    <row r="14" spans="1:51" ht="18" x14ac:dyDescent="0.25">
      <c r="A14" s="66" t="s">
        <v>56</v>
      </c>
      <c r="B14" s="15">
        <f>TEOR.EQ_A_G_9!F3</f>
        <v>0</v>
      </c>
      <c r="C14" s="15">
        <f>TIG.EQ_At_G_1!F3</f>
        <v>0.20533994550961771</v>
      </c>
      <c r="D14" s="16" t="str">
        <f t="shared" si="4"/>
        <v/>
      </c>
      <c r="E14" s="13" t="s">
        <v>45</v>
      </c>
      <c r="F14" s="20" t="e">
        <f>D14*10</f>
        <v>#VALUE!</v>
      </c>
      <c r="G14" s="90"/>
      <c r="H14" s="91" t="str">
        <f t="shared" si="1"/>
        <v/>
      </c>
      <c r="I14" s="91">
        <f t="shared" si="3"/>
        <v>2.0533994550961769</v>
      </c>
      <c r="J14" s="91" t="e">
        <f>IF(C14&gt;0.14,I14/B14*100,"")</f>
        <v>#DIV/0!</v>
      </c>
      <c r="K14" s="91" t="str">
        <f t="shared" si="2"/>
        <v/>
      </c>
      <c r="M14">
        <v>6</v>
      </c>
      <c r="O14" s="154" t="str">
        <f>D14</f>
        <v/>
      </c>
    </row>
    <row r="15" spans="1:51" ht="18" x14ac:dyDescent="0.25">
      <c r="A15" s="66" t="s">
        <v>57</v>
      </c>
      <c r="B15" s="15">
        <f>TEOR.EQ_A_G_9!G3</f>
        <v>0</v>
      </c>
      <c r="C15" s="15">
        <f>TIG.EQ_At_G_1!G3</f>
        <v>0</v>
      </c>
      <c r="D15" s="16" t="str">
        <f>IF(K15&gt;0,K15,"")</f>
        <v/>
      </c>
      <c r="E15" s="13" t="s">
        <v>14</v>
      </c>
      <c r="F15" s="20" t="e">
        <f>(F13-D13)+(F10-D10)+(F14-D14)</f>
        <v>#VALUE!</v>
      </c>
      <c r="G15" s="90"/>
      <c r="H15" s="91" t="str">
        <f t="shared" si="1"/>
        <v/>
      </c>
      <c r="I15" s="91" t="str">
        <f>IF(C15&gt;0,$B$6*C15/100,"")</f>
        <v/>
      </c>
      <c r="J15" s="91" t="str">
        <f>IF(B15&gt;0,I15/B15*100,"")</f>
        <v/>
      </c>
      <c r="K15" s="91" t="str">
        <f t="shared" si="2"/>
        <v/>
      </c>
      <c r="M15">
        <v>7</v>
      </c>
      <c r="O15" s="154"/>
    </row>
    <row r="16" spans="1:51" ht="18" x14ac:dyDescent="0.25">
      <c r="A16" s="66" t="s">
        <v>58</v>
      </c>
      <c r="B16" s="15">
        <f>TEOR.EQ_A_G_9!H3</f>
        <v>0</v>
      </c>
      <c r="C16" s="15">
        <f>TIG.EQ_At_G_1!H3</f>
        <v>0</v>
      </c>
      <c r="D16" s="16" t="str">
        <f t="shared" si="4"/>
        <v/>
      </c>
      <c r="E16" s="13"/>
      <c r="F16" s="21" t="e">
        <f>D16*10</f>
        <v>#VALUE!</v>
      </c>
      <c r="G16" s="90"/>
      <c r="H16" s="91" t="str">
        <f t="shared" si="1"/>
        <v/>
      </c>
      <c r="I16" s="91" t="str">
        <f t="shared" si="3"/>
        <v/>
      </c>
      <c r="J16" s="91" t="str">
        <f>IF(B16&gt;0,I16/B16*100,"")</f>
        <v/>
      </c>
      <c r="K16" s="91" t="str">
        <f t="shared" si="2"/>
        <v/>
      </c>
      <c r="M16">
        <v>8</v>
      </c>
      <c r="O16" s="154"/>
    </row>
    <row r="17" spans="1:15" ht="18" x14ac:dyDescent="0.25">
      <c r="A17" s="66" t="s">
        <v>77</v>
      </c>
      <c r="B17" s="15">
        <f>TEOR.EQ_A_G_9!I3</f>
        <v>0</v>
      </c>
      <c r="C17" s="15">
        <f>TIG.EQ_At_G_1!I3</f>
        <v>0</v>
      </c>
      <c r="D17" s="16" t="str">
        <f t="shared" si="4"/>
        <v/>
      </c>
      <c r="E17" s="13"/>
      <c r="F17" s="17" t="str">
        <f>D17</f>
        <v/>
      </c>
      <c r="G17" s="90"/>
      <c r="H17" s="91" t="str">
        <f t="shared" si="1"/>
        <v/>
      </c>
      <c r="I17" s="91" t="str">
        <f>IF(C17&gt;0,$B$6*C17/100,"")</f>
        <v/>
      </c>
      <c r="J17" s="91" t="str">
        <f>IF(B17&gt;0,I17/B17*100,"")</f>
        <v/>
      </c>
      <c r="K17" s="91" t="str">
        <f t="shared" si="2"/>
        <v/>
      </c>
      <c r="M17">
        <v>9</v>
      </c>
      <c r="O17" s="154"/>
    </row>
    <row r="18" spans="1:15" ht="18" x14ac:dyDescent="0.25">
      <c r="A18" s="66" t="s">
        <v>204</v>
      </c>
      <c r="B18" s="15">
        <f>TEOR.EQ_A_G_9!J3</f>
        <v>0</v>
      </c>
      <c r="C18" s="15">
        <f>TIG.EQ_At_G_1!J3</f>
        <v>0</v>
      </c>
      <c r="D18" s="92" t="str">
        <f t="shared" si="4"/>
        <v/>
      </c>
      <c r="H18" s="91" t="str">
        <f t="shared" si="1"/>
        <v/>
      </c>
      <c r="I18" s="91" t="str">
        <f t="shared" ref="I18:I32" si="5">IF(C18&gt;0,$B$6*C18/100,"")</f>
        <v/>
      </c>
      <c r="J18" s="91" t="str">
        <f t="shared" ref="J18:J32" si="6">IF(B18&gt;0,I18/B18*100,"")</f>
        <v/>
      </c>
      <c r="K18" s="91" t="str">
        <f>IF(H18&gt;H50,(H18-I18),"")</f>
        <v/>
      </c>
      <c r="M18">
        <v>10</v>
      </c>
      <c r="O18" s="154" t="str">
        <f>D18</f>
        <v/>
      </c>
    </row>
    <row r="19" spans="1:15" ht="18" x14ac:dyDescent="0.25">
      <c r="A19" s="66" t="s">
        <v>16</v>
      </c>
      <c r="B19" s="15">
        <f>TEOR.EQ_A_G_9!K3</f>
        <v>0</v>
      </c>
      <c r="C19" s="15">
        <f>TIG.EQ_At_G_1!K3</f>
        <v>1.6000667006096232</v>
      </c>
      <c r="D19" t="str">
        <f t="shared" si="4"/>
        <v/>
      </c>
      <c r="H19" s="91" t="str">
        <f t="shared" si="1"/>
        <v/>
      </c>
      <c r="I19" s="91">
        <f t="shared" si="5"/>
        <v>16.000667006096233</v>
      </c>
      <c r="J19" s="91" t="str">
        <f t="shared" si="6"/>
        <v/>
      </c>
      <c r="K19" s="91" t="str">
        <f t="shared" si="2"/>
        <v/>
      </c>
      <c r="M19">
        <v>11</v>
      </c>
      <c r="O19" s="154" t="str">
        <f>D19</f>
        <v/>
      </c>
    </row>
    <row r="20" spans="1:15" ht="18" x14ac:dyDescent="0.25">
      <c r="A20" s="66" t="s">
        <v>12</v>
      </c>
      <c r="B20" s="15">
        <f>TEOR.EQ_A_G_9!L3</f>
        <v>0</v>
      </c>
      <c r="C20" s="15">
        <f>TIG.EQ_At_G_1!L3</f>
        <v>0</v>
      </c>
      <c r="D20" t="str">
        <f t="shared" si="4"/>
        <v/>
      </c>
      <c r="H20" s="91" t="str">
        <f t="shared" si="1"/>
        <v/>
      </c>
      <c r="I20" s="91" t="str">
        <f t="shared" si="5"/>
        <v/>
      </c>
      <c r="J20" s="91" t="str">
        <f t="shared" si="6"/>
        <v/>
      </c>
      <c r="K20" s="91" t="str">
        <f t="shared" si="2"/>
        <v/>
      </c>
      <c r="M20">
        <v>12</v>
      </c>
      <c r="O20" s="154" t="str">
        <f>D20</f>
        <v/>
      </c>
    </row>
    <row r="21" spans="1:15" ht="18" x14ac:dyDescent="0.25">
      <c r="A21" s="66" t="s">
        <v>44</v>
      </c>
      <c r="B21" s="15">
        <f>TEOR.EQ_A_G_9!M3</f>
        <v>0</v>
      </c>
      <c r="C21" s="15">
        <f>TIG.EQ_At_G_1!M3</f>
        <v>1.3000541942453192</v>
      </c>
      <c r="D21" t="str">
        <f t="shared" si="4"/>
        <v/>
      </c>
      <c r="H21" s="91" t="str">
        <f t="shared" si="1"/>
        <v/>
      </c>
      <c r="I21" s="91">
        <f t="shared" si="5"/>
        <v>13.000541942453191</v>
      </c>
      <c r="J21" s="91" t="str">
        <f t="shared" si="6"/>
        <v/>
      </c>
      <c r="K21" s="91" t="str">
        <f t="shared" si="2"/>
        <v/>
      </c>
      <c r="M21">
        <v>13</v>
      </c>
      <c r="O21" t="str">
        <f>D21</f>
        <v/>
      </c>
    </row>
    <row r="22" spans="1:15" ht="18" x14ac:dyDescent="0.25">
      <c r="A22" s="66" t="s">
        <v>55</v>
      </c>
      <c r="B22" s="15">
        <f>TEOR.EQ_A_G_9!N3</f>
        <v>0</v>
      </c>
      <c r="C22" s="15">
        <f>TIG.EQ_At_G_1!N3</f>
        <v>0.19000792069739278</v>
      </c>
      <c r="D22" t="str">
        <f t="shared" si="4"/>
        <v/>
      </c>
      <c r="H22" s="91" t="str">
        <f t="shared" si="1"/>
        <v/>
      </c>
      <c r="I22" s="91">
        <f t="shared" si="5"/>
        <v>1.9000792069739278</v>
      </c>
      <c r="J22" s="91" t="str">
        <f t="shared" si="6"/>
        <v/>
      </c>
      <c r="K22" s="91" t="str">
        <f>IF(H22&gt;H64,(H22-I22),"")</f>
        <v/>
      </c>
      <c r="M22">
        <v>14</v>
      </c>
    </row>
    <row r="23" spans="1:15" ht="18" x14ac:dyDescent="0.25">
      <c r="A23" s="66" t="s">
        <v>17</v>
      </c>
      <c r="B23" s="15">
        <f>TEOR.EQ_A_G_9!O3</f>
        <v>0</v>
      </c>
      <c r="C23" s="15">
        <f>TIG.EQ_At_G_1!O3</f>
        <v>0</v>
      </c>
      <c r="D23" t="str">
        <f t="shared" si="4"/>
        <v/>
      </c>
      <c r="H23" s="91" t="str">
        <f t="shared" si="1"/>
        <v/>
      </c>
      <c r="I23" s="91" t="str">
        <f t="shared" si="5"/>
        <v/>
      </c>
      <c r="J23" s="91" t="str">
        <f t="shared" si="6"/>
        <v/>
      </c>
      <c r="K23" s="91" t="str">
        <f>IF(H23&gt;H65,(H23-I23),"")</f>
        <v/>
      </c>
      <c r="M23">
        <v>15</v>
      </c>
    </row>
    <row r="24" spans="1:15" ht="18" x14ac:dyDescent="0.25">
      <c r="A24" s="66" t="s">
        <v>80</v>
      </c>
      <c r="B24" s="15">
        <f>TEOR.EQ_A_G_9!P3</f>
        <v>0</v>
      </c>
      <c r="C24" s="15">
        <f>TIG.EQ_At_G_1!P3</f>
        <v>5.2002167769812764E-2</v>
      </c>
      <c r="D24" t="str">
        <f t="shared" si="4"/>
        <v/>
      </c>
      <c r="E24" t="s">
        <v>90</v>
      </c>
      <c r="F24" s="3"/>
      <c r="G24" s="3"/>
      <c r="H24" s="91" t="str">
        <f t="shared" si="1"/>
        <v/>
      </c>
      <c r="I24" s="91">
        <f t="shared" si="5"/>
        <v>0.52002167769812768</v>
      </c>
      <c r="J24" s="91" t="str">
        <f t="shared" si="6"/>
        <v/>
      </c>
      <c r="K24" s="91" t="str">
        <f>IF(H24&gt;H66,(H24-I24),"")</f>
        <v/>
      </c>
      <c r="L24" s="3"/>
      <c r="M24">
        <v>16</v>
      </c>
    </row>
    <row r="25" spans="1:15" ht="18" x14ac:dyDescent="0.25">
      <c r="A25" s="66" t="s">
        <v>81</v>
      </c>
      <c r="B25" s="15">
        <f>TEOR.EQ_A_G_9!Q3</f>
        <v>0</v>
      </c>
      <c r="C25" s="15">
        <f>TIG.EQ_At_G_1!Q3</f>
        <v>0</v>
      </c>
      <c r="D25" t="str">
        <f t="shared" si="4"/>
        <v/>
      </c>
      <c r="F25" s="69"/>
      <c r="G25" s="69"/>
      <c r="H25" s="91" t="str">
        <f t="shared" si="1"/>
        <v/>
      </c>
      <c r="I25" s="91" t="str">
        <f t="shared" si="5"/>
        <v/>
      </c>
      <c r="J25" s="91" t="str">
        <f t="shared" si="6"/>
        <v/>
      </c>
      <c r="K25" s="91" t="str">
        <f t="shared" si="2"/>
        <v/>
      </c>
      <c r="L25" s="69"/>
      <c r="M25">
        <v>17</v>
      </c>
    </row>
    <row r="26" spans="1:15" ht="18" x14ac:dyDescent="0.25">
      <c r="A26" s="66" t="s">
        <v>82</v>
      </c>
      <c r="B26" s="15">
        <f>TEOR.EQ_A_G_9!R3</f>
        <v>0</v>
      </c>
      <c r="C26" s="15">
        <f>TIG.EQ_At_G_1!R3</f>
        <v>0</v>
      </c>
      <c r="D26" t="str">
        <f t="shared" si="4"/>
        <v/>
      </c>
      <c r="E26" t="s">
        <v>91</v>
      </c>
      <c r="F26" s="4"/>
      <c r="G26" s="4"/>
      <c r="H26" s="91" t="str">
        <f t="shared" si="1"/>
        <v/>
      </c>
      <c r="I26" s="91" t="str">
        <f t="shared" si="5"/>
        <v/>
      </c>
      <c r="J26" s="91" t="str">
        <f t="shared" si="6"/>
        <v/>
      </c>
      <c r="K26" s="91" t="str">
        <f t="shared" si="2"/>
        <v/>
      </c>
      <c r="L26" s="4"/>
      <c r="M26">
        <v>18</v>
      </c>
    </row>
    <row r="27" spans="1:15" ht="18" x14ac:dyDescent="0.25">
      <c r="A27" s="66" t="s">
        <v>83</v>
      </c>
      <c r="B27" s="15">
        <f>TEOR.EQ_A_G_9!S3</f>
        <v>0</v>
      </c>
      <c r="C27" s="15">
        <f>TIG.EQ_At_G_1!S3</f>
        <v>0</v>
      </c>
      <c r="D27" t="str">
        <f t="shared" si="4"/>
        <v/>
      </c>
      <c r="H27" s="91" t="str">
        <f t="shared" si="1"/>
        <v/>
      </c>
      <c r="I27" s="91" t="str">
        <f t="shared" si="5"/>
        <v/>
      </c>
      <c r="J27" s="91" t="str">
        <f t="shared" si="6"/>
        <v/>
      </c>
      <c r="K27" s="91" t="str">
        <f t="shared" si="2"/>
        <v/>
      </c>
      <c r="M27">
        <v>19</v>
      </c>
    </row>
    <row r="28" spans="1:15" ht="18" x14ac:dyDescent="0.25">
      <c r="A28" s="66" t="s">
        <v>45</v>
      </c>
      <c r="B28" s="15">
        <f>TEOR.EQ_A_G_9!T3</f>
        <v>0</v>
      </c>
      <c r="C28" s="15">
        <f>TIG.EQ_At_G_1!T3</f>
        <v>0</v>
      </c>
      <c r="D28" t="str">
        <f t="shared" si="4"/>
        <v/>
      </c>
      <c r="H28" s="91" t="str">
        <f t="shared" si="1"/>
        <v/>
      </c>
      <c r="I28" s="91" t="str">
        <f t="shared" si="5"/>
        <v/>
      </c>
      <c r="J28" s="91" t="str">
        <f t="shared" si="6"/>
        <v/>
      </c>
      <c r="K28" s="91" t="str">
        <f t="shared" si="2"/>
        <v/>
      </c>
      <c r="M28">
        <v>20</v>
      </c>
    </row>
    <row r="29" spans="1:15" ht="18" x14ac:dyDescent="0.25">
      <c r="A29" s="66" t="s">
        <v>43</v>
      </c>
      <c r="B29" s="15">
        <f>TEOR.EQ_A_G_9!U3</f>
        <v>0</v>
      </c>
      <c r="C29" s="15">
        <f>TIG.EQ_At_G_1!U3</f>
        <v>0</v>
      </c>
      <c r="D29" t="str">
        <f t="shared" si="4"/>
        <v/>
      </c>
      <c r="H29" s="91" t="str">
        <f t="shared" si="1"/>
        <v/>
      </c>
      <c r="I29" s="91" t="str">
        <f t="shared" si="5"/>
        <v/>
      </c>
      <c r="J29" s="91" t="str">
        <f t="shared" si="6"/>
        <v/>
      </c>
      <c r="K29" s="91" t="str">
        <f t="shared" si="2"/>
        <v/>
      </c>
      <c r="M29">
        <v>21</v>
      </c>
    </row>
    <row r="30" spans="1:15" ht="18" x14ac:dyDescent="0.25">
      <c r="A30" s="66" t="s">
        <v>13</v>
      </c>
      <c r="B30" s="15">
        <f>TEOR.EQ_A_G_9!V3</f>
        <v>0</v>
      </c>
      <c r="C30" s="15">
        <f>TIG.EQ_At_G_1!V3</f>
        <v>0</v>
      </c>
      <c r="D30" t="str">
        <f t="shared" si="4"/>
        <v/>
      </c>
      <c r="H30" s="91" t="str">
        <f t="shared" si="1"/>
        <v/>
      </c>
      <c r="I30" s="91" t="str">
        <f t="shared" si="5"/>
        <v/>
      </c>
      <c r="J30" s="91" t="str">
        <f t="shared" si="6"/>
        <v/>
      </c>
      <c r="K30" s="91" t="str">
        <f t="shared" si="2"/>
        <v/>
      </c>
      <c r="M30">
        <v>22</v>
      </c>
    </row>
    <row r="31" spans="1:15" ht="18" x14ac:dyDescent="0.25">
      <c r="A31" s="66" t="s">
        <v>0</v>
      </c>
      <c r="B31" s="15">
        <f>TEOR.EQ_A_G_9!W3</f>
        <v>0</v>
      </c>
      <c r="C31" s="15">
        <f>TIG.EQ_At_G_1!W3</f>
        <v>0</v>
      </c>
      <c r="D31" t="str">
        <f t="shared" si="4"/>
        <v/>
      </c>
      <c r="H31" s="91" t="str">
        <f t="shared" si="1"/>
        <v/>
      </c>
      <c r="I31" s="91" t="str">
        <f t="shared" si="5"/>
        <v/>
      </c>
      <c r="J31" s="91" t="str">
        <f t="shared" si="6"/>
        <v/>
      </c>
      <c r="K31" s="91" t="str">
        <f t="shared" si="2"/>
        <v/>
      </c>
      <c r="M31">
        <v>23</v>
      </c>
    </row>
    <row r="32" spans="1:15" ht="18" x14ac:dyDescent="0.25">
      <c r="A32" s="66" t="s">
        <v>11</v>
      </c>
      <c r="B32" s="15">
        <f>TEOR.EQ_A_G_9!X3</f>
        <v>0</v>
      </c>
      <c r="C32" s="15">
        <f>TIG.EQ_At_G_1!X3</f>
        <v>0</v>
      </c>
      <c r="D32" t="str">
        <f t="shared" si="4"/>
        <v/>
      </c>
      <c r="H32" s="91" t="str">
        <f t="shared" si="1"/>
        <v/>
      </c>
      <c r="I32" s="91" t="str">
        <f t="shared" si="5"/>
        <v/>
      </c>
      <c r="J32" s="91" t="str">
        <f t="shared" si="6"/>
        <v/>
      </c>
      <c r="K32" s="91" t="str">
        <f>IF(H32&gt;H64,(H32-I32),"")</f>
        <v/>
      </c>
      <c r="M32">
        <v>24</v>
      </c>
    </row>
    <row r="33" spans="1:26" ht="18" x14ac:dyDescent="0.25">
      <c r="A33" s="66" t="s">
        <v>10</v>
      </c>
      <c r="B33" s="15">
        <f>TEOR.EQ_A_G_9!Y3</f>
        <v>0</v>
      </c>
      <c r="C33" s="15">
        <f>TIG.EQ_At_G_1!Y3</f>
        <v>0</v>
      </c>
      <c r="D33" t="e">
        <f>IF(K34&gt;0,K34,"")</f>
        <v>#DIV/0!</v>
      </c>
      <c r="E33" s="17" t="e">
        <f>D15-F33</f>
        <v>#VALUE!</v>
      </c>
      <c r="F33" s="17" t="e">
        <f>(F14-D14)+(F13-D13)</f>
        <v>#VALUE!</v>
      </c>
      <c r="G33" s="90" t="s">
        <v>30</v>
      </c>
      <c r="H33" s="91" t="e">
        <f>SUM(H9:H32)</f>
        <v>#DIV/0!</v>
      </c>
      <c r="I33" s="91">
        <f>SUM(I9:I32)</f>
        <v>1000</v>
      </c>
      <c r="J33" s="91" t="e">
        <f>MAX(J9:J32)</f>
        <v>#DIV/0!</v>
      </c>
      <c r="K33" s="91" t="e">
        <f>IF(H33&gt;H65,(H33-I33),"")</f>
        <v>#DIV/0!</v>
      </c>
      <c r="M33">
        <v>25</v>
      </c>
    </row>
    <row r="34" spans="1:26" x14ac:dyDescent="0.25">
      <c r="B34" s="14">
        <f>SUM(B9:B33)</f>
        <v>100</v>
      </c>
      <c r="C34" s="14">
        <f>SUM(C9:C32)</f>
        <v>100.00000000000001</v>
      </c>
      <c r="D34" s="18" t="e">
        <f>SUM(D10:D33)</f>
        <v>#DIV/0!</v>
      </c>
      <c r="G34" s="337" t="s">
        <v>31</v>
      </c>
      <c r="H34" s="338"/>
      <c r="I34" s="91"/>
      <c r="J34" s="91" t="e">
        <f>IF(B6&gt;0,B6+D33,"")</f>
        <v>#DIV/0!</v>
      </c>
      <c r="K34" s="91" t="e">
        <f>SUM(K9:K32)</f>
        <v>#DIV/0!</v>
      </c>
    </row>
    <row r="35" spans="1:26" ht="18" x14ac:dyDescent="0.25">
      <c r="A35">
        <f>'OK OK'!A3</f>
        <v>0</v>
      </c>
      <c r="B35" s="210" t="s">
        <v>14</v>
      </c>
      <c r="C35" s="210" t="s">
        <v>15</v>
      </c>
      <c r="D35" s="210" t="s">
        <v>8</v>
      </c>
      <c r="E35" s="210" t="s">
        <v>9</v>
      </c>
      <c r="F35" s="210" t="s">
        <v>234</v>
      </c>
      <c r="G35" s="210" t="s">
        <v>56</v>
      </c>
      <c r="H35" s="210" t="s">
        <v>57</v>
      </c>
      <c r="I35" s="210" t="s">
        <v>58</v>
      </c>
      <c r="J35" s="210" t="s">
        <v>77</v>
      </c>
      <c r="K35" s="210" t="s">
        <v>204</v>
      </c>
      <c r="L35" s="210" t="s">
        <v>16</v>
      </c>
      <c r="M35" s="210" t="s">
        <v>12</v>
      </c>
      <c r="N35" s="210" t="s">
        <v>44</v>
      </c>
      <c r="O35" s="210" t="s">
        <v>55</v>
      </c>
      <c r="P35" s="210" t="s">
        <v>17</v>
      </c>
      <c r="Q35" s="210" t="s">
        <v>80</v>
      </c>
      <c r="R35" s="210" t="s">
        <v>81</v>
      </c>
      <c r="S35" s="210" t="s">
        <v>82</v>
      </c>
      <c r="T35" s="210" t="s">
        <v>83</v>
      </c>
      <c r="U35" s="210" t="s">
        <v>45</v>
      </c>
      <c r="V35" s="210" t="s">
        <v>43</v>
      </c>
      <c r="W35" s="210" t="s">
        <v>13</v>
      </c>
      <c r="X35" s="210" t="s">
        <v>0</v>
      </c>
      <c r="Y35" s="210" t="s">
        <v>11</v>
      </c>
      <c r="Z35" s="210" t="s">
        <v>10</v>
      </c>
    </row>
    <row r="36" spans="1:26" x14ac:dyDescent="0.25">
      <c r="A36" s="124" t="str">
        <f>'OK OK'!A4</f>
        <v>Composition in the crucible</v>
      </c>
      <c r="B36">
        <f>'OK OK'!B4</f>
        <v>94.328499999999991</v>
      </c>
      <c r="C36">
        <f>'OK OK'!C4</f>
        <v>0.89</v>
      </c>
      <c r="D36">
        <f>'OK OK'!D4</f>
        <v>1.43</v>
      </c>
      <c r="E36">
        <f>'OK OK'!E4</f>
        <v>0</v>
      </c>
      <c r="F36">
        <f>'OK OK'!F4</f>
        <v>0</v>
      </c>
      <c r="G36">
        <f>'OK OK'!G4</f>
        <v>0.2</v>
      </c>
      <c r="H36">
        <f>'OK OK'!H4</f>
        <v>5.0000000000000001E-3</v>
      </c>
      <c r="I36">
        <f>'OK OK'!I4</f>
        <v>1E-3</v>
      </c>
      <c r="J36">
        <f>'OK OK'!J4</f>
        <v>1E-3</v>
      </c>
      <c r="K36">
        <f>'OK OK'!K4</f>
        <v>1.5E-3</v>
      </c>
      <c r="L36">
        <f>'OK OK'!L4</f>
        <v>1.6</v>
      </c>
      <c r="M36">
        <f>'OK OK'!M4</f>
        <v>1E-3</v>
      </c>
      <c r="N36">
        <f>'OK OK'!N4</f>
        <v>1.3</v>
      </c>
      <c r="O36">
        <f>'OK OK'!O4</f>
        <v>0.19</v>
      </c>
      <c r="P36">
        <f>'OK OK'!P4</f>
        <v>0</v>
      </c>
      <c r="Q36">
        <f>'OK OK'!Q4</f>
        <v>5.1999999999999998E-2</v>
      </c>
      <c r="R36">
        <f>'OK OK'!R4</f>
        <v>0</v>
      </c>
      <c r="S36">
        <f>'OK OK'!S4</f>
        <v>0</v>
      </c>
      <c r="T36">
        <f>'OK OK'!T4</f>
        <v>0</v>
      </c>
      <c r="U36">
        <f>'OK OK'!U4</f>
        <v>0</v>
      </c>
      <c r="V36">
        <f>'OK OK'!V4</f>
        <v>0</v>
      </c>
      <c r="W36">
        <f>'OK OK'!W4</f>
        <v>0</v>
      </c>
      <c r="X36">
        <f>'OK OK'!X4</f>
        <v>0</v>
      </c>
      <c r="Y36">
        <f>'OK OK'!Y4</f>
        <v>0</v>
      </c>
      <c r="Z36">
        <f>'OK OK'!Z4</f>
        <v>0</v>
      </c>
    </row>
    <row r="37" spans="1:26" x14ac:dyDescent="0.25">
      <c r="A37" s="96" t="s">
        <v>165</v>
      </c>
      <c r="B37" t="e">
        <f>100-C37-D37-E37-F37-G37-H37-I37-J37-K37-L37-M37-N37-O37-P37-Q37-R37-S37-T37-U37-V37-W37-X37-Y37-Z37</f>
        <v>#DIV/0!</v>
      </c>
      <c r="C37" t="e">
        <f>C36/G6</f>
        <v>#DIV/0!</v>
      </c>
      <c r="D37" t="e">
        <f>D36/G6</f>
        <v>#DIV/0!</v>
      </c>
      <c r="E37" t="e">
        <f>E36/G6</f>
        <v>#DIV/0!</v>
      </c>
      <c r="F37" t="e">
        <f>F36/G6</f>
        <v>#DIV/0!</v>
      </c>
      <c r="G37" t="e">
        <f>G36/G6</f>
        <v>#DIV/0!</v>
      </c>
      <c r="H37" t="e">
        <f>H36/G6</f>
        <v>#DIV/0!</v>
      </c>
      <c r="I37" t="e">
        <f>I36/G6</f>
        <v>#DIV/0!</v>
      </c>
      <c r="J37" t="e">
        <f>J36/G6</f>
        <v>#DIV/0!</v>
      </c>
      <c r="K37" t="e">
        <f>K36/G6</f>
        <v>#DIV/0!</v>
      </c>
      <c r="L37" t="e">
        <f>L36/G6</f>
        <v>#DIV/0!</v>
      </c>
      <c r="M37" t="e">
        <f>M36/G6</f>
        <v>#DIV/0!</v>
      </c>
      <c r="N37" t="e">
        <f>N36/G6</f>
        <v>#DIV/0!</v>
      </c>
      <c r="O37" t="e">
        <f>O36/G6</f>
        <v>#DIV/0!</v>
      </c>
      <c r="P37" t="e">
        <f>P36/G6</f>
        <v>#DIV/0!</v>
      </c>
      <c r="Q37" t="e">
        <f>Q36/G6</f>
        <v>#DIV/0!</v>
      </c>
      <c r="R37" t="e">
        <f>R36/G6</f>
        <v>#DIV/0!</v>
      </c>
      <c r="S37" t="e">
        <f>S36/G6</f>
        <v>#DIV/0!</v>
      </c>
      <c r="T37" t="e">
        <f>T36/G6</f>
        <v>#DIV/0!</v>
      </c>
      <c r="U37" t="e">
        <f>U36/G6</f>
        <v>#DIV/0!</v>
      </c>
      <c r="V37" t="e">
        <f>V36/G6</f>
        <v>#DIV/0!</v>
      </c>
      <c r="W37" t="e">
        <f>W36/G6</f>
        <v>#DIV/0!</v>
      </c>
      <c r="X37" t="e">
        <f>X36/G6</f>
        <v>#DIV/0!</v>
      </c>
      <c r="Y37" t="e">
        <f>Y36/G6</f>
        <v>#DIV/0!</v>
      </c>
      <c r="Z37" t="e">
        <f>Z36/G6</f>
        <v>#DIV/0!</v>
      </c>
    </row>
    <row r="54" spans="1:51" ht="18.75" x14ac:dyDescent="0.3">
      <c r="B54" s="210" t="s">
        <v>14</v>
      </c>
      <c r="C54" s="210" t="s">
        <v>15</v>
      </c>
      <c r="D54" s="210" t="s">
        <v>8</v>
      </c>
      <c r="E54" s="210" t="s">
        <v>9</v>
      </c>
      <c r="F54" s="210" t="s">
        <v>234</v>
      </c>
      <c r="G54" s="210" t="s">
        <v>56</v>
      </c>
      <c r="H54" s="210" t="s">
        <v>57</v>
      </c>
      <c r="I54" s="210" t="s">
        <v>58</v>
      </c>
      <c r="J54" s="210" t="s">
        <v>77</v>
      </c>
      <c r="K54" s="210" t="s">
        <v>204</v>
      </c>
      <c r="L54" s="210" t="s">
        <v>16</v>
      </c>
      <c r="M54" s="210" t="s">
        <v>12</v>
      </c>
      <c r="N54" s="210" t="s">
        <v>44</v>
      </c>
      <c r="O54" s="210" t="s">
        <v>55</v>
      </c>
      <c r="P54" s="210" t="s">
        <v>17</v>
      </c>
      <c r="Q54" s="210" t="s">
        <v>80</v>
      </c>
      <c r="R54" s="210" t="s">
        <v>81</v>
      </c>
      <c r="S54" s="210" t="s">
        <v>82</v>
      </c>
      <c r="T54" s="210" t="s">
        <v>83</v>
      </c>
      <c r="U54" s="210" t="s">
        <v>45</v>
      </c>
      <c r="V54" s="210" t="s">
        <v>43</v>
      </c>
      <c r="W54" s="210" t="s">
        <v>13</v>
      </c>
      <c r="X54" s="210" t="s">
        <v>0</v>
      </c>
      <c r="Y54" s="210" t="s">
        <v>11</v>
      </c>
      <c r="Z54" s="210" t="s">
        <v>10</v>
      </c>
      <c r="AA54" s="211" t="s">
        <v>14</v>
      </c>
      <c r="AB54" s="212" t="s">
        <v>15</v>
      </c>
      <c r="AC54" s="213" t="s">
        <v>8</v>
      </c>
      <c r="AD54" s="214" t="s">
        <v>9</v>
      </c>
      <c r="AE54" s="213" t="s">
        <v>234</v>
      </c>
      <c r="AF54" s="213" t="s">
        <v>56</v>
      </c>
      <c r="AG54" s="214" t="s">
        <v>57</v>
      </c>
      <c r="AH54" s="213" t="s">
        <v>58</v>
      </c>
      <c r="AI54" s="215" t="s">
        <v>77</v>
      </c>
      <c r="AJ54" s="216" t="s">
        <v>204</v>
      </c>
      <c r="AK54" s="216" t="s">
        <v>16</v>
      </c>
      <c r="AL54" s="210" t="s">
        <v>13</v>
      </c>
      <c r="AM54" s="215" t="s">
        <v>44</v>
      </c>
      <c r="AN54" s="216" t="s">
        <v>55</v>
      </c>
      <c r="AO54" s="210" t="s">
        <v>17</v>
      </c>
      <c r="AP54" s="210" t="s">
        <v>80</v>
      </c>
      <c r="AQ54" s="210" t="s">
        <v>81</v>
      </c>
      <c r="AR54" s="210" t="s">
        <v>82</v>
      </c>
      <c r="AS54" s="210" t="s">
        <v>83</v>
      </c>
      <c r="AT54" s="210" t="s">
        <v>45</v>
      </c>
      <c r="AU54" s="210" t="s">
        <v>43</v>
      </c>
      <c r="AV54" s="210" t="s">
        <v>12</v>
      </c>
      <c r="AW54" s="210" t="s">
        <v>0</v>
      </c>
      <c r="AX54" s="210" t="s">
        <v>11</v>
      </c>
      <c r="AY54" s="210" t="s">
        <v>10</v>
      </c>
    </row>
    <row r="55" spans="1:51" ht="18.75" x14ac:dyDescent="0.3">
      <c r="B55" s="36" t="e">
        <f>100-C55-D55-E55-F55-G55-H55-I55-J55-K55-L55-M55-N55-O55-P55-Q55-R55-S55-T55-U55-V55-W55-X55-Y55-Z55</f>
        <v>#DIV/0!</v>
      </c>
      <c r="C55" s="37" t="e">
        <f>C37</f>
        <v>#DIV/0!</v>
      </c>
      <c r="D55" s="37" t="e">
        <f t="shared" ref="D55:Z55" si="7">D37</f>
        <v>#DIV/0!</v>
      </c>
      <c r="E55" s="37" t="e">
        <f t="shared" si="7"/>
        <v>#DIV/0!</v>
      </c>
      <c r="F55" s="37" t="e">
        <f t="shared" si="7"/>
        <v>#DIV/0!</v>
      </c>
      <c r="G55" s="37" t="e">
        <f t="shared" si="7"/>
        <v>#DIV/0!</v>
      </c>
      <c r="H55" s="37" t="e">
        <f t="shared" si="7"/>
        <v>#DIV/0!</v>
      </c>
      <c r="I55" s="37" t="e">
        <f t="shared" si="7"/>
        <v>#DIV/0!</v>
      </c>
      <c r="J55" s="37" t="e">
        <f t="shared" si="7"/>
        <v>#DIV/0!</v>
      </c>
      <c r="K55" s="37" t="e">
        <f t="shared" si="7"/>
        <v>#DIV/0!</v>
      </c>
      <c r="L55" s="37" t="e">
        <f t="shared" si="7"/>
        <v>#DIV/0!</v>
      </c>
      <c r="M55" s="37" t="e">
        <f t="shared" si="7"/>
        <v>#DIV/0!</v>
      </c>
      <c r="N55" s="37" t="e">
        <f t="shared" si="7"/>
        <v>#DIV/0!</v>
      </c>
      <c r="O55" s="37" t="e">
        <f t="shared" si="7"/>
        <v>#DIV/0!</v>
      </c>
      <c r="P55" s="37" t="e">
        <f t="shared" si="7"/>
        <v>#DIV/0!</v>
      </c>
      <c r="Q55" s="37" t="e">
        <f t="shared" si="7"/>
        <v>#DIV/0!</v>
      </c>
      <c r="R55" s="37" t="e">
        <f t="shared" si="7"/>
        <v>#DIV/0!</v>
      </c>
      <c r="S55" s="37" t="e">
        <f t="shared" si="7"/>
        <v>#DIV/0!</v>
      </c>
      <c r="T55" s="37" t="e">
        <f t="shared" si="7"/>
        <v>#DIV/0!</v>
      </c>
      <c r="U55" s="37" t="e">
        <f t="shared" si="7"/>
        <v>#DIV/0!</v>
      </c>
      <c r="V55" s="37" t="e">
        <f t="shared" si="7"/>
        <v>#DIV/0!</v>
      </c>
      <c r="W55" s="37" t="e">
        <f t="shared" si="7"/>
        <v>#DIV/0!</v>
      </c>
      <c r="X55" s="37" t="e">
        <f t="shared" si="7"/>
        <v>#DIV/0!</v>
      </c>
      <c r="Y55" s="37" t="e">
        <f t="shared" si="7"/>
        <v>#DIV/0!</v>
      </c>
      <c r="Z55" s="37" t="e">
        <f t="shared" si="7"/>
        <v>#DIV/0!</v>
      </c>
      <c r="AA55" s="219">
        <v>55.84</v>
      </c>
      <c r="AB55" s="219">
        <v>28.0855</v>
      </c>
      <c r="AC55" s="219">
        <v>58.693399999999997</v>
      </c>
      <c r="AD55" s="219">
        <v>63.545999999999999</v>
      </c>
      <c r="AE55" s="219">
        <v>65.38</v>
      </c>
      <c r="AF55" s="219">
        <v>12.01</v>
      </c>
      <c r="AG55" s="219">
        <v>30.973762000000001</v>
      </c>
      <c r="AH55" s="219">
        <v>32.064999999999998</v>
      </c>
      <c r="AI55" s="219">
        <v>14.0067</v>
      </c>
      <c r="AJ55" s="219">
        <v>10.81</v>
      </c>
      <c r="AK55" s="219">
        <v>54.938043999999998</v>
      </c>
      <c r="AL55" s="219">
        <v>24.305</v>
      </c>
      <c r="AM55" s="219">
        <v>51.996099999999998</v>
      </c>
      <c r="AN55" s="219">
        <v>95.95</v>
      </c>
      <c r="AO55" s="220">
        <v>47.866999999999997</v>
      </c>
      <c r="AP55" s="220">
        <v>50.941499999999998</v>
      </c>
      <c r="AQ55" s="220">
        <v>92.906369999999995</v>
      </c>
      <c r="AR55" s="220">
        <v>183.84</v>
      </c>
      <c r="AS55" s="220">
        <v>180.94788</v>
      </c>
      <c r="AT55" s="220">
        <v>91.224000000000004</v>
      </c>
      <c r="AU55" s="220">
        <v>58.933194999999998</v>
      </c>
      <c r="AV55" s="220">
        <v>26.981539999999999</v>
      </c>
      <c r="AW55" s="219">
        <v>121.76</v>
      </c>
      <c r="AX55" s="219">
        <v>207.2</v>
      </c>
      <c r="AY55" s="219">
        <v>118.71</v>
      </c>
    </row>
    <row r="56" spans="1:51" ht="18.75" x14ac:dyDescent="0.3">
      <c r="A56" s="96" t="s">
        <v>166</v>
      </c>
      <c r="B56" s="36" t="e">
        <f>100*((((B55)/(AA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C56" s="36" t="e">
        <f>100*((((C55)/(AB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D56" s="36" t="e">
        <f>100*((((D55)/(AC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E56" s="36" t="e">
        <f>100*((((E55)/(AD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F56" s="36" t="e">
        <f>100*((((F55)/(AE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G56" s="36" t="e">
        <f>100*((((G55)/(AF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H56" s="36" t="e">
        <f>100*((((H55)/(AG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I56" s="36" t="e">
        <f>100*((((I55)/(AH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J56" s="36" t="e">
        <f>100*((((J55)/(AI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K56" s="36" t="e">
        <f>100*((((K55)/(AJ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L56" s="36" t="e">
        <f>100*((((L55)/(AK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M56" s="36" t="e">
        <f>100*((((M55)/(AL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N56" s="36" t="e">
        <f>100*((((N55)/(AM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O56" s="36" t="e">
        <f>100*((((O55)/(AN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P56" s="36" t="e">
        <f>100*((((P55)/(AO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Q56" s="36" t="e">
        <f>100*((((Q55)/(AP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R56" s="36" t="e">
        <f>100*((((R55)/(AQ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S56" s="36" t="e">
        <f>100*((((S55)/(AR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T56" s="36" t="e">
        <f>100*((((T55)/(AS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U56" s="36" t="e">
        <f>100*((((U55)/(AT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V56" s="36" t="e">
        <f>100*((((V55)/(AU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W56" s="36" t="e">
        <f>100*((((W55)/(AV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X56" s="7" t="e">
        <f>100*((((X55)/(AW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Y56" s="7" t="e">
        <f>100*((((Y55)/(AX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Z56" s="7" t="e">
        <f>100*((((Z55)/(AY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</sheetData>
  <mergeCells count="1">
    <mergeCell ref="G34:H34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74A5-C034-4282-8D56-6A7973A82E17}">
  <dimension ref="A1:AY56"/>
  <sheetViews>
    <sheetView topLeftCell="K34" zoomScale="112" zoomScaleNormal="112" workbookViewId="0">
      <selection activeCell="AA54" sqref="AA54:AY55"/>
    </sheetView>
  </sheetViews>
  <sheetFormatPr baseColWidth="10" defaultRowHeight="15" x14ac:dyDescent="0.25"/>
  <cols>
    <col min="1" max="1" width="15.85546875" customWidth="1"/>
    <col min="4" max="4" width="13.5703125" customWidth="1"/>
    <col min="5" max="5" width="12.5703125" customWidth="1"/>
    <col min="6" max="6" width="13.5703125" customWidth="1"/>
  </cols>
  <sheetData>
    <row r="1" spans="1:51" ht="18.75" x14ac:dyDescent="0.3">
      <c r="A1" s="66" t="s">
        <v>14</v>
      </c>
      <c r="B1" s="66" t="s">
        <v>15</v>
      </c>
      <c r="C1" s="66" t="s">
        <v>8</v>
      </c>
      <c r="D1" s="66" t="s">
        <v>9</v>
      </c>
      <c r="E1" s="66" t="s">
        <v>234</v>
      </c>
      <c r="F1" s="66" t="s">
        <v>56</v>
      </c>
      <c r="G1" s="66" t="s">
        <v>57</v>
      </c>
      <c r="H1" s="66" t="s">
        <v>58</v>
      </c>
      <c r="I1" s="66" t="s">
        <v>77</v>
      </c>
      <c r="J1" s="66" t="s">
        <v>204</v>
      </c>
      <c r="K1" s="66" t="s">
        <v>16</v>
      </c>
      <c r="L1" s="66" t="s">
        <v>12</v>
      </c>
      <c r="M1" s="66" t="s">
        <v>44</v>
      </c>
      <c r="N1" s="66" t="s">
        <v>55</v>
      </c>
      <c r="O1" s="66" t="s">
        <v>17</v>
      </c>
      <c r="P1" s="66" t="s">
        <v>80</v>
      </c>
      <c r="Q1" s="66" t="s">
        <v>81</v>
      </c>
      <c r="R1" s="66" t="s">
        <v>82</v>
      </c>
      <c r="S1" s="66" t="s">
        <v>83</v>
      </c>
      <c r="T1" s="66" t="s">
        <v>45</v>
      </c>
      <c r="U1" s="66" t="s">
        <v>43</v>
      </c>
      <c r="V1" s="66" t="s">
        <v>13</v>
      </c>
      <c r="W1" s="66" t="s">
        <v>0</v>
      </c>
      <c r="X1" s="66" t="s">
        <v>11</v>
      </c>
      <c r="Y1" s="66" t="s">
        <v>10</v>
      </c>
      <c r="Z1" s="211" t="s">
        <v>14</v>
      </c>
      <c r="AA1" s="212" t="s">
        <v>15</v>
      </c>
      <c r="AB1" s="213" t="s">
        <v>8</v>
      </c>
      <c r="AC1" s="214" t="s">
        <v>9</v>
      </c>
      <c r="AD1" s="213" t="s">
        <v>234</v>
      </c>
      <c r="AE1" s="213" t="s">
        <v>56</v>
      </c>
      <c r="AF1" s="214" t="s">
        <v>57</v>
      </c>
      <c r="AG1" s="213" t="s">
        <v>58</v>
      </c>
      <c r="AH1" s="215" t="s">
        <v>77</v>
      </c>
      <c r="AI1" s="216" t="s">
        <v>204</v>
      </c>
      <c r="AJ1" s="216" t="s">
        <v>16</v>
      </c>
      <c r="AK1" s="210" t="s">
        <v>13</v>
      </c>
      <c r="AL1" s="215" t="s">
        <v>44</v>
      </c>
      <c r="AM1" s="216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12</v>
      </c>
      <c r="AV1" s="210" t="s">
        <v>0</v>
      </c>
      <c r="AW1" s="210" t="s">
        <v>11</v>
      </c>
      <c r="AX1" s="210" t="s">
        <v>10</v>
      </c>
      <c r="AY1" s="35"/>
    </row>
    <row r="2" spans="1:51" ht="18.75" x14ac:dyDescent="0.3">
      <c r="A2" s="36">
        <f>100-B2-C2-D2-E2-F2-G2-H2-I2-J2-K2-L2-M2-N2-O2-P2-Q2-R2-S2-T2-U2-V2-W2-X2-Y2</f>
        <v>94.328499999999991</v>
      </c>
      <c r="B2" s="37">
        <f>'OK OK'!C4</f>
        <v>0.89</v>
      </c>
      <c r="C2" s="37">
        <f>'OK OK'!D4</f>
        <v>1.43</v>
      </c>
      <c r="D2" s="37">
        <f>'OK OK'!E4</f>
        <v>0</v>
      </c>
      <c r="E2" s="37">
        <f>'OK OK'!F4</f>
        <v>0</v>
      </c>
      <c r="F2" s="37">
        <f>'OK OK'!G4</f>
        <v>0.2</v>
      </c>
      <c r="G2" s="37">
        <f>'OK OK'!H4</f>
        <v>5.0000000000000001E-3</v>
      </c>
      <c r="H2" s="37">
        <f>'OK OK'!I4</f>
        <v>1E-3</v>
      </c>
      <c r="I2" s="37">
        <f>'OK OK'!J4</f>
        <v>1E-3</v>
      </c>
      <c r="J2" s="37">
        <f>'OK OK'!K4</f>
        <v>1.5E-3</v>
      </c>
      <c r="K2" s="37">
        <f>'OK OK'!L4</f>
        <v>1.6</v>
      </c>
      <c r="L2" s="37">
        <f>'OK OK'!M4</f>
        <v>1E-3</v>
      </c>
      <c r="M2" s="37">
        <f>'OK OK'!N4</f>
        <v>1.3</v>
      </c>
      <c r="N2" s="37">
        <f>'OK OK'!O4</f>
        <v>0.19</v>
      </c>
      <c r="O2" s="37">
        <f>'OK OK'!P4</f>
        <v>0</v>
      </c>
      <c r="P2" s="37">
        <f>'OK OK'!Q4</f>
        <v>5.1999999999999998E-2</v>
      </c>
      <c r="Q2" s="37">
        <f>'OK OK'!R4</f>
        <v>0</v>
      </c>
      <c r="R2" s="37">
        <f>'OK OK'!S4</f>
        <v>0</v>
      </c>
      <c r="S2" s="37">
        <f>'OK OK'!T4</f>
        <v>0</v>
      </c>
      <c r="T2" s="37">
        <f>'OK OK'!U4</f>
        <v>0</v>
      </c>
      <c r="U2" s="37">
        <f>'OK OK'!V4</f>
        <v>0</v>
      </c>
      <c r="V2" s="37">
        <f>'OK OK'!W4</f>
        <v>0</v>
      </c>
      <c r="W2" s="37">
        <f>'OK OK'!X4</f>
        <v>0</v>
      </c>
      <c r="X2" s="37">
        <f>'OK OK'!Y4</f>
        <v>0</v>
      </c>
      <c r="Y2" s="37">
        <f>'OK OK'!Z4</f>
        <v>0</v>
      </c>
      <c r="Z2" s="219">
        <v>55.84</v>
      </c>
      <c r="AA2" s="219">
        <v>28.0855</v>
      </c>
      <c r="AB2" s="219">
        <v>58.693399999999997</v>
      </c>
      <c r="AC2" s="219">
        <v>63.545999999999999</v>
      </c>
      <c r="AD2" s="219">
        <v>65.38</v>
      </c>
      <c r="AE2" s="219">
        <v>12.01</v>
      </c>
      <c r="AF2" s="219">
        <v>30.973762000000001</v>
      </c>
      <c r="AG2" s="219">
        <v>32.064999999999998</v>
      </c>
      <c r="AH2" s="219">
        <v>14.0067</v>
      </c>
      <c r="AI2" s="219">
        <v>10.81</v>
      </c>
      <c r="AJ2" s="219">
        <v>54.938043999999998</v>
      </c>
      <c r="AK2" s="219">
        <v>24.305</v>
      </c>
      <c r="AL2" s="219">
        <v>51.996099999999998</v>
      </c>
      <c r="AM2" s="219">
        <v>95.95</v>
      </c>
      <c r="AN2" s="220">
        <v>47.866999999999997</v>
      </c>
      <c r="AO2" s="220">
        <v>50.941499999999998</v>
      </c>
      <c r="AP2" s="220">
        <v>92.906369999999995</v>
      </c>
      <c r="AQ2" s="220">
        <v>183.84</v>
      </c>
      <c r="AR2" s="220">
        <v>180.94788</v>
      </c>
      <c r="AS2" s="220">
        <v>91.224000000000004</v>
      </c>
      <c r="AT2" s="220">
        <v>58.933194999999998</v>
      </c>
      <c r="AU2" s="220">
        <v>26.981539999999999</v>
      </c>
      <c r="AV2" s="219">
        <v>121.76</v>
      </c>
      <c r="AW2" s="219">
        <v>207.2</v>
      </c>
      <c r="AX2" s="219">
        <v>118.71</v>
      </c>
      <c r="AY2" s="7"/>
    </row>
    <row r="3" spans="1:51" ht="18.75" x14ac:dyDescent="0.3">
      <c r="A3" s="36">
        <f>100*((((A2)/(Z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92.840162287943627</v>
      </c>
      <c r="B3" s="36">
        <f>100*((((B2)/(AA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1.741591189035695</v>
      </c>
      <c r="C3" s="36">
        <f>100*((((C2)/(AB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1.3390140731654472</v>
      </c>
      <c r="D3" s="36">
        <f>100*((((D2)/(AC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E3" s="36">
        <f>100*((((E2)/(AD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F3" s="36">
        <f>100*((((F2)/(AE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0.91521970155323784</v>
      </c>
      <c r="G3" s="36">
        <f>100*((((G2)/(AF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8.8718546811123438E-3</v>
      </c>
      <c r="H3" s="36">
        <f>100*((((H2)/(AG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1.7139854382745025E-3</v>
      </c>
      <c r="I3" s="36">
        <f>100*((((I2)/(AH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3.9237609914021089E-3</v>
      </c>
      <c r="J3" s="36">
        <f>100*((((J2)/(AI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7.6261253115085933E-3</v>
      </c>
      <c r="K3" s="36">
        <f>100*((((K2)/(AJ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1.6006086588236572</v>
      </c>
      <c r="L3" s="36">
        <f>100*((((L2)/(AK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2.2612196288118464E-3</v>
      </c>
      <c r="M3" s="36">
        <f>100*((((M2)/(AL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1.3740766327042508</v>
      </c>
      <c r="N3" s="36">
        <f>100*((((N2)/(AM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0.10882959025400381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P3" s="36">
        <f>100*((((P2)/(AO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5.6100920468972061E-2</v>
      </c>
      <c r="Q3" s="36">
        <f>100*((((Q2)/(AP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R3" s="36">
        <f>100*((((R2)/(AQ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S3" s="36">
        <f>100*((((S2)/(AR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T3" s="36">
        <f>100*((((T2)/(AS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U3" s="36">
        <f>100*((((U2)/(AT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V3" s="36">
        <f>100*((((V2)/(AU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W3" s="7">
        <f>100*((((W2)/(AV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X3" s="7">
        <f>100*((((X2)/(AW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Y3" s="7">
        <f>100*((((Y2)/(AX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51" ht="15.75" x14ac:dyDescent="0.25">
      <c r="A4" s="8" t="s">
        <v>18</v>
      </c>
      <c r="B4" s="9">
        <v>111</v>
      </c>
    </row>
    <row r="5" spans="1:51" ht="15.75" x14ac:dyDescent="0.25">
      <c r="A5" s="8" t="s">
        <v>19</v>
      </c>
      <c r="B5" s="9" t="s">
        <v>79</v>
      </c>
      <c r="C5" s="10"/>
    </row>
    <row r="6" spans="1:51" ht="15.75" x14ac:dyDescent="0.25">
      <c r="A6" s="8" t="s">
        <v>20</v>
      </c>
      <c r="B6" s="9">
        <f>'OK OK'!B13</f>
        <v>1000</v>
      </c>
      <c r="D6" s="8" t="s">
        <v>21</v>
      </c>
      <c r="E6" s="11" t="e">
        <f>IF(J33&gt;1,J33,"")</f>
        <v>#DIV/0!</v>
      </c>
      <c r="F6" s="12" t="s">
        <v>22</v>
      </c>
      <c r="G6" t="e">
        <f>E6/B6</f>
        <v>#DIV/0!</v>
      </c>
    </row>
    <row r="7" spans="1:51" ht="15.75" x14ac:dyDescent="0.25">
      <c r="A7" s="3"/>
      <c r="B7" t="s">
        <v>50</v>
      </c>
      <c r="C7" t="s">
        <v>51</v>
      </c>
    </row>
    <row r="8" spans="1:51" ht="18.75" x14ac:dyDescent="0.3">
      <c r="A8" s="3"/>
      <c r="B8" s="13" t="s">
        <v>23</v>
      </c>
      <c r="C8" s="13" t="s">
        <v>24</v>
      </c>
      <c r="D8" s="13" t="s">
        <v>25</v>
      </c>
      <c r="E8" s="19" t="s">
        <v>38</v>
      </c>
      <c r="F8" s="13" t="s">
        <v>25</v>
      </c>
      <c r="G8" s="10"/>
      <c r="H8" s="14" t="s">
        <v>26</v>
      </c>
      <c r="I8" s="14" t="s">
        <v>27</v>
      </c>
      <c r="J8" s="14" t="s">
        <v>28</v>
      </c>
      <c r="K8" s="14" t="s">
        <v>29</v>
      </c>
      <c r="Z8" s="57"/>
      <c r="AA8" s="58"/>
      <c r="AB8" s="59"/>
      <c r="AC8" s="60"/>
      <c r="AD8" s="59"/>
      <c r="AE8" s="59"/>
      <c r="AF8" s="60"/>
      <c r="AG8" s="59"/>
      <c r="AH8" s="61"/>
      <c r="AI8" s="62"/>
      <c r="AJ8" s="62"/>
      <c r="AK8" s="63"/>
      <c r="AL8" s="63"/>
      <c r="AM8" s="62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</row>
    <row r="9" spans="1:51" ht="18.75" x14ac:dyDescent="0.3">
      <c r="A9" s="66" t="s">
        <v>14</v>
      </c>
      <c r="B9" s="15">
        <f>TEOR.EQ_A_G_10!A3</f>
        <v>100</v>
      </c>
      <c r="C9" s="15">
        <f>TIG.EQ_At_G_1!A3</f>
        <v>94.332432355284283</v>
      </c>
      <c r="D9" s="16" t="e">
        <f>IF(K9&gt;0,K9,"")</f>
        <v>#DIV/0!</v>
      </c>
      <c r="E9" s="13" t="s">
        <v>56</v>
      </c>
      <c r="F9" s="20" t="e">
        <f t="shared" ref="F9:F12" si="0">D9</f>
        <v>#DIV/0!</v>
      </c>
      <c r="G9" s="90"/>
      <c r="H9" s="91" t="e">
        <f t="shared" ref="H9:H32" si="1">IF(B9&gt;0,$J$33*B9/100,"")</f>
        <v>#DIV/0!</v>
      </c>
      <c r="I9" s="91">
        <f>IF(C9&gt;0,$B$6*C9/100,"")</f>
        <v>943.32432355284288</v>
      </c>
      <c r="J9" s="91">
        <f>IF(B9&gt;0,I9/B9*100,"")</f>
        <v>943.324323552843</v>
      </c>
      <c r="K9" s="91" t="e">
        <f t="shared" ref="K9:K31" si="2">IF(H9&gt;H41,(H9-I9),"")</f>
        <v>#DIV/0!</v>
      </c>
      <c r="M9">
        <v>1</v>
      </c>
      <c r="O9" s="154" t="e">
        <f>D9</f>
        <v>#DIV/0!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V9" s="7"/>
      <c r="AW9" s="7"/>
      <c r="AX9" s="7"/>
    </row>
    <row r="10" spans="1:51" ht="18" x14ac:dyDescent="0.25">
      <c r="A10" s="66" t="s">
        <v>15</v>
      </c>
      <c r="B10" s="15">
        <f>TEOR.EQ_A_G_10!B3</f>
        <v>0</v>
      </c>
      <c r="C10" s="15">
        <f>TIG.EQ_At_G_1!B3</f>
        <v>0.89003710221410315</v>
      </c>
      <c r="D10" s="16" t="str">
        <f>IF(K10&gt;0,K10,"")</f>
        <v/>
      </c>
      <c r="E10" s="13" t="s">
        <v>16</v>
      </c>
      <c r="F10" s="20" t="e">
        <f>D10*5</f>
        <v>#VALUE!</v>
      </c>
      <c r="G10" s="90"/>
      <c r="H10" s="91" t="str">
        <f t="shared" si="1"/>
        <v/>
      </c>
      <c r="I10" s="91">
        <f t="shared" ref="I10:I16" si="3">IF(C10&gt;0,$B$6*C10/100,"")</f>
        <v>8.9003710221410319</v>
      </c>
      <c r="J10" s="91" t="str">
        <f>IF(B10&gt;0,I10/B10*100,"")</f>
        <v/>
      </c>
      <c r="K10" s="91" t="str">
        <f t="shared" si="2"/>
        <v/>
      </c>
      <c r="M10">
        <v>2</v>
      </c>
      <c r="O10" s="154" t="str">
        <f>D10</f>
        <v/>
      </c>
    </row>
    <row r="11" spans="1:51" ht="18" x14ac:dyDescent="0.25">
      <c r="A11" s="66" t="s">
        <v>8</v>
      </c>
      <c r="B11" s="15">
        <f>TEOR.EQ_A_G_10!C3</f>
        <v>0</v>
      </c>
      <c r="C11" s="15">
        <f>TIG.EQ_At_G_1!C3</f>
        <v>1.4300596136698511</v>
      </c>
      <c r="D11" s="16" t="str">
        <f t="shared" ref="D11:D32" si="4">IF(K11&gt;0,K11,"")</f>
        <v/>
      </c>
      <c r="E11" s="13" t="s">
        <v>13</v>
      </c>
      <c r="F11" s="20" t="str">
        <f t="shared" si="0"/>
        <v/>
      </c>
      <c r="G11" s="90"/>
      <c r="H11" s="91" t="str">
        <f t="shared" si="1"/>
        <v/>
      </c>
      <c r="I11" s="91">
        <f t="shared" si="3"/>
        <v>14.300596136698511</v>
      </c>
      <c r="J11" s="91" t="str">
        <f>IF(B11&gt;0,I11/B11*100,"")</f>
        <v/>
      </c>
      <c r="K11" s="91" t="str">
        <f t="shared" si="2"/>
        <v/>
      </c>
      <c r="M11">
        <v>3</v>
      </c>
      <c r="O11" s="154" t="str">
        <f>D11</f>
        <v/>
      </c>
    </row>
    <row r="12" spans="1:51" ht="18" x14ac:dyDescent="0.25">
      <c r="A12" s="66" t="s">
        <v>9</v>
      </c>
      <c r="B12" s="15">
        <f>TEOR.EQ_A_G_10!D3</f>
        <v>0</v>
      </c>
      <c r="C12" s="15">
        <f>TIG.EQ_At_G_1!D3</f>
        <v>0</v>
      </c>
      <c r="D12" s="16" t="str">
        <f t="shared" si="4"/>
        <v/>
      </c>
      <c r="E12" s="13" t="s">
        <v>15</v>
      </c>
      <c r="F12" s="20" t="str">
        <f t="shared" si="0"/>
        <v/>
      </c>
      <c r="G12" s="90"/>
      <c r="H12" s="91" t="str">
        <f t="shared" si="1"/>
        <v/>
      </c>
      <c r="I12" s="91" t="str">
        <f>IF(C12&gt;0,$B$6*C12/100,"")</f>
        <v/>
      </c>
      <c r="J12" s="91" t="str">
        <f>IF(B12&gt;0,I12/B12*100,"")</f>
        <v/>
      </c>
      <c r="K12" s="91" t="str">
        <f t="shared" si="2"/>
        <v/>
      </c>
      <c r="M12">
        <v>4</v>
      </c>
      <c r="O12" s="154" t="str">
        <f>D17</f>
        <v/>
      </c>
    </row>
    <row r="13" spans="1:51" ht="18" x14ac:dyDescent="0.25">
      <c r="A13" s="66" t="s">
        <v>234</v>
      </c>
      <c r="B13" s="15">
        <f>TEOR.EQ_A_G_10!E3</f>
        <v>0</v>
      </c>
      <c r="C13" s="15">
        <f>TIG.EQ_At_G_1!E3</f>
        <v>0</v>
      </c>
      <c r="D13" s="16" t="str">
        <f t="shared" si="4"/>
        <v/>
      </c>
      <c r="E13" s="13" t="s">
        <v>17</v>
      </c>
      <c r="F13" s="20" t="e">
        <f>D13*10</f>
        <v>#VALUE!</v>
      </c>
      <c r="G13" s="90"/>
      <c r="H13" s="91" t="str">
        <f t="shared" si="1"/>
        <v/>
      </c>
      <c r="I13" s="91" t="str">
        <f t="shared" si="3"/>
        <v/>
      </c>
      <c r="J13" s="91" t="str">
        <f>IF(B13&gt;0,I13/B13*100,"")</f>
        <v/>
      </c>
      <c r="K13" s="91" t="str">
        <f t="shared" si="2"/>
        <v/>
      </c>
      <c r="M13">
        <v>5</v>
      </c>
      <c r="O13" s="154"/>
    </row>
    <row r="14" spans="1:51" ht="18" x14ac:dyDescent="0.25">
      <c r="A14" s="66" t="s">
        <v>56</v>
      </c>
      <c r="B14" s="15">
        <f>TEOR.EQ_A_G_10!F3</f>
        <v>0</v>
      </c>
      <c r="C14" s="15">
        <f>TIG.EQ_At_G_1!F3</f>
        <v>0.20533994550961771</v>
      </c>
      <c r="D14" s="16" t="str">
        <f t="shared" si="4"/>
        <v/>
      </c>
      <c r="E14" s="13" t="s">
        <v>45</v>
      </c>
      <c r="F14" s="20" t="e">
        <f>D14*10</f>
        <v>#VALUE!</v>
      </c>
      <c r="G14" s="90"/>
      <c r="H14" s="91" t="str">
        <f t="shared" si="1"/>
        <v/>
      </c>
      <c r="I14" s="91">
        <f t="shared" si="3"/>
        <v>2.0533994550961769</v>
      </c>
      <c r="J14" s="91" t="e">
        <f>IF(C14&gt;0.14,I14/B14*100,"")</f>
        <v>#DIV/0!</v>
      </c>
      <c r="K14" s="91" t="str">
        <f t="shared" si="2"/>
        <v/>
      </c>
      <c r="M14">
        <v>6</v>
      </c>
      <c r="O14" s="154" t="str">
        <f>D14</f>
        <v/>
      </c>
    </row>
    <row r="15" spans="1:51" ht="18" x14ac:dyDescent="0.25">
      <c r="A15" s="66" t="s">
        <v>57</v>
      </c>
      <c r="B15" s="15">
        <f>TEOR.EQ_A_G_10!G3</f>
        <v>0</v>
      </c>
      <c r="C15" s="15">
        <f>TIG.EQ_At_G_1!G3</f>
        <v>0</v>
      </c>
      <c r="D15" s="16" t="str">
        <f>IF(K15&gt;0,K15,"")</f>
        <v/>
      </c>
      <c r="E15" s="13" t="s">
        <v>14</v>
      </c>
      <c r="F15" s="20" t="e">
        <f>(F13-D13)+(F10-D10)+(F14-D14)</f>
        <v>#VALUE!</v>
      </c>
      <c r="G15" s="90"/>
      <c r="H15" s="91" t="str">
        <f t="shared" si="1"/>
        <v/>
      </c>
      <c r="I15" s="91" t="str">
        <f>IF(C15&gt;0,$B$6*C15/100,"")</f>
        <v/>
      </c>
      <c r="J15" s="91" t="str">
        <f>IF(B15&gt;0,I15/B15*100,"")</f>
        <v/>
      </c>
      <c r="K15" s="91" t="str">
        <f t="shared" si="2"/>
        <v/>
      </c>
      <c r="M15">
        <v>7</v>
      </c>
      <c r="O15" s="154"/>
    </row>
    <row r="16" spans="1:51" ht="18" x14ac:dyDescent="0.25">
      <c r="A16" s="66" t="s">
        <v>58</v>
      </c>
      <c r="B16" s="15">
        <f>TEOR.EQ_A_G_10!H3</f>
        <v>0</v>
      </c>
      <c r="C16" s="15">
        <f>TIG.EQ_At_G_1!H3</f>
        <v>0</v>
      </c>
      <c r="D16" s="16" t="str">
        <f t="shared" si="4"/>
        <v/>
      </c>
      <c r="E16" s="13"/>
      <c r="F16" s="21" t="e">
        <f>D16*10</f>
        <v>#VALUE!</v>
      </c>
      <c r="G16" s="90"/>
      <c r="H16" s="91" t="str">
        <f t="shared" si="1"/>
        <v/>
      </c>
      <c r="I16" s="91" t="str">
        <f t="shared" si="3"/>
        <v/>
      </c>
      <c r="J16" s="91" t="str">
        <f>IF(B16&gt;0,I16/B16*100,"")</f>
        <v/>
      </c>
      <c r="K16" s="91" t="str">
        <f t="shared" si="2"/>
        <v/>
      </c>
      <c r="M16">
        <v>8</v>
      </c>
      <c r="O16" s="154"/>
    </row>
    <row r="17" spans="1:15" ht="18" x14ac:dyDescent="0.25">
      <c r="A17" s="66" t="s">
        <v>77</v>
      </c>
      <c r="B17" s="15">
        <f>TEOR.EQ_A_G_10!I3</f>
        <v>0</v>
      </c>
      <c r="C17" s="15">
        <f>TIG.EQ_At_G_1!I3</f>
        <v>0</v>
      </c>
      <c r="D17" s="16" t="str">
        <f t="shared" si="4"/>
        <v/>
      </c>
      <c r="E17" s="13"/>
      <c r="F17" s="17" t="str">
        <f>D17</f>
        <v/>
      </c>
      <c r="G17" s="90"/>
      <c r="H17" s="91" t="str">
        <f t="shared" si="1"/>
        <v/>
      </c>
      <c r="I17" s="91" t="str">
        <f>IF(C17&gt;0,$B$6*C17/100,"")</f>
        <v/>
      </c>
      <c r="J17" s="91" t="str">
        <f>IF(B17&gt;0,I17/B17*100,"")</f>
        <v/>
      </c>
      <c r="K17" s="91" t="str">
        <f t="shared" si="2"/>
        <v/>
      </c>
      <c r="M17">
        <v>9</v>
      </c>
      <c r="O17" s="154"/>
    </row>
    <row r="18" spans="1:15" ht="18" x14ac:dyDescent="0.25">
      <c r="A18" s="66" t="s">
        <v>204</v>
      </c>
      <c r="B18" s="15">
        <f>TEOR.EQ_A_G_10!J3</f>
        <v>0</v>
      </c>
      <c r="C18" s="15">
        <f>TIG.EQ_At_G_1!J3</f>
        <v>0</v>
      </c>
      <c r="D18" s="92" t="str">
        <f t="shared" si="4"/>
        <v/>
      </c>
      <c r="H18" s="91" t="str">
        <f t="shared" si="1"/>
        <v/>
      </c>
      <c r="I18" s="91" t="str">
        <f t="shared" ref="I18:I32" si="5">IF(C18&gt;0,$B$6*C18/100,"")</f>
        <v/>
      </c>
      <c r="J18" s="91" t="str">
        <f t="shared" ref="J18:J32" si="6">IF(B18&gt;0,I18/B18*100,"")</f>
        <v/>
      </c>
      <c r="K18" s="91" t="str">
        <f>IF(H18&gt;H50,(H18-I18),"")</f>
        <v/>
      </c>
      <c r="M18">
        <v>10</v>
      </c>
      <c r="O18" s="154" t="str">
        <f>D18</f>
        <v/>
      </c>
    </row>
    <row r="19" spans="1:15" ht="18" x14ac:dyDescent="0.25">
      <c r="A19" s="66" t="s">
        <v>16</v>
      </c>
      <c r="B19" s="15">
        <f>TEOR.EQ_A_G_10!K3</f>
        <v>0</v>
      </c>
      <c r="C19" s="15">
        <f>TIG.EQ_At_G_1!K3</f>
        <v>1.6000667006096232</v>
      </c>
      <c r="D19" t="str">
        <f t="shared" si="4"/>
        <v/>
      </c>
      <c r="H19" s="91" t="str">
        <f t="shared" si="1"/>
        <v/>
      </c>
      <c r="I19" s="91">
        <f t="shared" si="5"/>
        <v>16.000667006096233</v>
      </c>
      <c r="J19" s="91" t="str">
        <f t="shared" si="6"/>
        <v/>
      </c>
      <c r="K19" s="91" t="str">
        <f t="shared" si="2"/>
        <v/>
      </c>
      <c r="M19">
        <v>11</v>
      </c>
      <c r="O19" s="154" t="str">
        <f>D19</f>
        <v/>
      </c>
    </row>
    <row r="20" spans="1:15" ht="18" x14ac:dyDescent="0.25">
      <c r="A20" s="66" t="s">
        <v>12</v>
      </c>
      <c r="B20" s="15">
        <f>TEOR.EQ_A_G_10!L3</f>
        <v>0</v>
      </c>
      <c r="C20" s="15">
        <f>TIG.EQ_At_G_1!L3</f>
        <v>0</v>
      </c>
      <c r="D20" t="str">
        <f t="shared" si="4"/>
        <v/>
      </c>
      <c r="H20" s="91" t="str">
        <f t="shared" si="1"/>
        <v/>
      </c>
      <c r="I20" s="91" t="str">
        <f t="shared" si="5"/>
        <v/>
      </c>
      <c r="J20" s="91" t="str">
        <f t="shared" si="6"/>
        <v/>
      </c>
      <c r="K20" s="91" t="str">
        <f t="shared" si="2"/>
        <v/>
      </c>
      <c r="M20">
        <v>12</v>
      </c>
      <c r="O20" s="154" t="str">
        <f>D20</f>
        <v/>
      </c>
    </row>
    <row r="21" spans="1:15" ht="18" x14ac:dyDescent="0.25">
      <c r="A21" s="66" t="s">
        <v>44</v>
      </c>
      <c r="B21" s="15">
        <f>TEOR.EQ_A_G_10!M3</f>
        <v>0</v>
      </c>
      <c r="C21" s="15">
        <f>TIG.EQ_At_G_1!M3</f>
        <v>1.3000541942453192</v>
      </c>
      <c r="D21" t="str">
        <f t="shared" si="4"/>
        <v/>
      </c>
      <c r="H21" s="91" t="str">
        <f t="shared" si="1"/>
        <v/>
      </c>
      <c r="I21" s="91">
        <f t="shared" si="5"/>
        <v>13.000541942453191</v>
      </c>
      <c r="J21" s="91" t="str">
        <f>IF(B21&gt;0,I21/B21*100,"")</f>
        <v/>
      </c>
      <c r="K21" s="91" t="str">
        <f t="shared" si="2"/>
        <v/>
      </c>
      <c r="M21">
        <v>13</v>
      </c>
      <c r="O21" s="154" t="str">
        <f>D21</f>
        <v/>
      </c>
    </row>
    <row r="22" spans="1:15" ht="18" x14ac:dyDescent="0.25">
      <c r="A22" s="66" t="s">
        <v>55</v>
      </c>
      <c r="B22" s="15">
        <f>TEOR.EQ_A_G_10!N3</f>
        <v>0</v>
      </c>
      <c r="C22" s="15">
        <f>TIG.EQ_At_G_1!N3</f>
        <v>0.19000792069739278</v>
      </c>
      <c r="D22" t="str">
        <f t="shared" si="4"/>
        <v/>
      </c>
      <c r="H22" s="91" t="str">
        <f t="shared" si="1"/>
        <v/>
      </c>
      <c r="I22" s="91">
        <f t="shared" si="5"/>
        <v>1.9000792069739278</v>
      </c>
      <c r="J22" s="91" t="str">
        <f t="shared" si="6"/>
        <v/>
      </c>
      <c r="K22" s="91" t="str">
        <f t="shared" si="2"/>
        <v/>
      </c>
      <c r="M22">
        <v>14</v>
      </c>
      <c r="O22" s="154"/>
    </row>
    <row r="23" spans="1:15" ht="18" x14ac:dyDescent="0.25">
      <c r="A23" s="66" t="s">
        <v>17</v>
      </c>
      <c r="B23" s="15">
        <f>TEOR.EQ_A_G_10!O3</f>
        <v>0</v>
      </c>
      <c r="C23" s="15">
        <f>TIG.EQ_At_G_1!O3</f>
        <v>0</v>
      </c>
      <c r="D23" t="str">
        <f t="shared" si="4"/>
        <v/>
      </c>
      <c r="H23" s="91" t="str">
        <f t="shared" si="1"/>
        <v/>
      </c>
      <c r="I23" s="91" t="str">
        <f t="shared" si="5"/>
        <v/>
      </c>
      <c r="J23" s="91" t="str">
        <f t="shared" si="6"/>
        <v/>
      </c>
      <c r="K23" s="91" t="str">
        <f>IF(H23&gt;H65,(H23-I23),"")</f>
        <v/>
      </c>
      <c r="M23">
        <v>15</v>
      </c>
      <c r="O23" s="154"/>
    </row>
    <row r="24" spans="1:15" ht="18" x14ac:dyDescent="0.25">
      <c r="A24" s="66" t="s">
        <v>80</v>
      </c>
      <c r="B24" s="15">
        <f>TEOR.EQ_A_G_10!P3</f>
        <v>0</v>
      </c>
      <c r="C24" s="15">
        <f>TIG.EQ_At_G_1!P3</f>
        <v>5.2002167769812764E-2</v>
      </c>
      <c r="D24" t="str">
        <f t="shared" si="4"/>
        <v/>
      </c>
      <c r="E24" t="s">
        <v>90</v>
      </c>
      <c r="F24" s="3"/>
      <c r="G24" s="3"/>
      <c r="H24" s="91" t="str">
        <f t="shared" si="1"/>
        <v/>
      </c>
      <c r="I24" s="91">
        <f t="shared" si="5"/>
        <v>0.52002167769812768</v>
      </c>
      <c r="J24" s="91" t="str">
        <f t="shared" si="6"/>
        <v/>
      </c>
      <c r="K24" s="91" t="str">
        <f>IF(H24&gt;H66,(H24-I24),"")</f>
        <v/>
      </c>
      <c r="L24" s="3"/>
      <c r="M24">
        <v>16</v>
      </c>
      <c r="O24" s="154"/>
    </row>
    <row r="25" spans="1:15" ht="18" x14ac:dyDescent="0.25">
      <c r="A25" s="66" t="s">
        <v>81</v>
      </c>
      <c r="B25" s="15">
        <f>TEOR.EQ_A_G_10!Q3</f>
        <v>0</v>
      </c>
      <c r="C25" s="15">
        <f>TIG.EQ_At_G_1!Q3</f>
        <v>0</v>
      </c>
      <c r="D25" t="str">
        <f t="shared" si="4"/>
        <v/>
      </c>
      <c r="F25" s="69"/>
      <c r="G25" s="69"/>
      <c r="H25" s="91" t="str">
        <f t="shared" si="1"/>
        <v/>
      </c>
      <c r="I25" s="91" t="str">
        <f t="shared" si="5"/>
        <v/>
      </c>
      <c r="J25" s="91" t="str">
        <f t="shared" si="6"/>
        <v/>
      </c>
      <c r="K25" s="91" t="str">
        <f t="shared" si="2"/>
        <v/>
      </c>
      <c r="L25" s="69"/>
      <c r="M25">
        <v>17</v>
      </c>
    </row>
    <row r="26" spans="1:15" ht="18" x14ac:dyDescent="0.25">
      <c r="A26" s="66" t="s">
        <v>82</v>
      </c>
      <c r="B26" s="15">
        <f>TEOR.EQ_A_G_10!R3</f>
        <v>0</v>
      </c>
      <c r="C26" s="15">
        <f>TIG.EQ_At_G_1!R3</f>
        <v>0</v>
      </c>
      <c r="D26" t="str">
        <f t="shared" si="4"/>
        <v/>
      </c>
      <c r="E26" t="s">
        <v>91</v>
      </c>
      <c r="F26" s="4"/>
      <c r="G26" s="4"/>
      <c r="H26" s="91" t="str">
        <f t="shared" si="1"/>
        <v/>
      </c>
      <c r="I26" s="91" t="str">
        <f t="shared" si="5"/>
        <v/>
      </c>
      <c r="J26" s="91" t="str">
        <f t="shared" si="6"/>
        <v/>
      </c>
      <c r="K26" s="91" t="str">
        <f t="shared" si="2"/>
        <v/>
      </c>
      <c r="L26" s="4"/>
      <c r="M26">
        <v>18</v>
      </c>
    </row>
    <row r="27" spans="1:15" ht="18" x14ac:dyDescent="0.25">
      <c r="A27" s="66" t="s">
        <v>83</v>
      </c>
      <c r="B27" s="15">
        <f>TEOR.EQ_A_G_10!S3</f>
        <v>0</v>
      </c>
      <c r="C27" s="15">
        <f>TIG.EQ_At_G_1!S3</f>
        <v>0</v>
      </c>
      <c r="D27" t="str">
        <f t="shared" si="4"/>
        <v/>
      </c>
      <c r="H27" s="91" t="str">
        <f t="shared" si="1"/>
        <v/>
      </c>
      <c r="I27" s="91" t="str">
        <f t="shared" si="5"/>
        <v/>
      </c>
      <c r="J27" s="91" t="str">
        <f t="shared" si="6"/>
        <v/>
      </c>
      <c r="K27" s="91" t="str">
        <f t="shared" si="2"/>
        <v/>
      </c>
      <c r="M27">
        <v>19</v>
      </c>
    </row>
    <row r="28" spans="1:15" ht="18" x14ac:dyDescent="0.25">
      <c r="A28" s="66" t="s">
        <v>45</v>
      </c>
      <c r="B28" s="15">
        <f>TEOR.EQ_A_G_10!T3</f>
        <v>0</v>
      </c>
      <c r="C28" s="15">
        <f>TIG.EQ_At_G_1!T3</f>
        <v>0</v>
      </c>
      <c r="D28" t="str">
        <f t="shared" si="4"/>
        <v/>
      </c>
      <c r="H28" s="91" t="str">
        <f t="shared" si="1"/>
        <v/>
      </c>
      <c r="I28" s="91" t="str">
        <f t="shared" si="5"/>
        <v/>
      </c>
      <c r="J28" s="91" t="str">
        <f t="shared" si="6"/>
        <v/>
      </c>
      <c r="K28" s="91" t="str">
        <f t="shared" si="2"/>
        <v/>
      </c>
      <c r="M28">
        <v>20</v>
      </c>
    </row>
    <row r="29" spans="1:15" ht="18" x14ac:dyDescent="0.25">
      <c r="A29" s="66" t="s">
        <v>43</v>
      </c>
      <c r="B29" s="15">
        <f>TEOR.EQ_A_G_10!U3</f>
        <v>0</v>
      </c>
      <c r="C29" s="15">
        <f>TIG.EQ_At_G_1!U3</f>
        <v>0</v>
      </c>
      <c r="D29" t="str">
        <f t="shared" si="4"/>
        <v/>
      </c>
      <c r="H29" s="91" t="str">
        <f t="shared" si="1"/>
        <v/>
      </c>
      <c r="I29" s="91" t="str">
        <f t="shared" si="5"/>
        <v/>
      </c>
      <c r="J29" s="91" t="str">
        <f t="shared" si="6"/>
        <v/>
      </c>
      <c r="K29" s="91" t="str">
        <f t="shared" si="2"/>
        <v/>
      </c>
      <c r="M29">
        <v>21</v>
      </c>
    </row>
    <row r="30" spans="1:15" ht="18" x14ac:dyDescent="0.25">
      <c r="A30" s="66" t="s">
        <v>13</v>
      </c>
      <c r="B30" s="15">
        <f>TEOR.EQ_A_G_10!V3</f>
        <v>0</v>
      </c>
      <c r="C30" s="15">
        <f>TIG.EQ_At_G_1!V3</f>
        <v>0</v>
      </c>
      <c r="D30" t="str">
        <f t="shared" si="4"/>
        <v/>
      </c>
      <c r="H30" s="91" t="str">
        <f t="shared" si="1"/>
        <v/>
      </c>
      <c r="I30" s="91" t="str">
        <f t="shared" si="5"/>
        <v/>
      </c>
      <c r="J30" s="91" t="str">
        <f t="shared" si="6"/>
        <v/>
      </c>
      <c r="K30" s="91" t="str">
        <f t="shared" si="2"/>
        <v/>
      </c>
      <c r="M30">
        <v>22</v>
      </c>
    </row>
    <row r="31" spans="1:15" ht="18" x14ac:dyDescent="0.25">
      <c r="A31" s="66" t="s">
        <v>0</v>
      </c>
      <c r="B31" s="15">
        <f>TEOR.EQ_A_G_10!W3</f>
        <v>0</v>
      </c>
      <c r="C31" s="15">
        <f>TIG.EQ_At_G_1!W3</f>
        <v>0</v>
      </c>
      <c r="D31" t="str">
        <f t="shared" si="4"/>
        <v/>
      </c>
      <c r="H31" s="91" t="str">
        <f t="shared" si="1"/>
        <v/>
      </c>
      <c r="I31" s="91" t="str">
        <f t="shared" si="5"/>
        <v/>
      </c>
      <c r="J31" s="91" t="str">
        <f t="shared" si="6"/>
        <v/>
      </c>
      <c r="K31" s="91" t="str">
        <f t="shared" si="2"/>
        <v/>
      </c>
      <c r="M31">
        <v>23</v>
      </c>
    </row>
    <row r="32" spans="1:15" ht="18" x14ac:dyDescent="0.25">
      <c r="A32" s="66" t="s">
        <v>11</v>
      </c>
      <c r="B32" s="15">
        <f>TEOR.EQ_A_G_10!X3</f>
        <v>0</v>
      </c>
      <c r="C32" s="15">
        <f>TIG.EQ_At_G_1!X3</f>
        <v>0</v>
      </c>
      <c r="D32" t="str">
        <f t="shared" si="4"/>
        <v/>
      </c>
      <c r="H32" s="91" t="str">
        <f t="shared" si="1"/>
        <v/>
      </c>
      <c r="I32" s="91" t="str">
        <f t="shared" si="5"/>
        <v/>
      </c>
      <c r="J32" s="91" t="str">
        <f t="shared" si="6"/>
        <v/>
      </c>
      <c r="K32" s="91" t="str">
        <f>IF(H32&gt;H64,(H32-I32),"")</f>
        <v/>
      </c>
      <c r="M32">
        <v>24</v>
      </c>
    </row>
    <row r="33" spans="1:26" ht="18" x14ac:dyDescent="0.25">
      <c r="A33" s="66" t="s">
        <v>10</v>
      </c>
      <c r="B33" s="15">
        <f>TEOR.EQ_A_G_10!Y3</f>
        <v>0</v>
      </c>
      <c r="C33" s="15">
        <f>TIG.EQ_At_G_1!Y3</f>
        <v>0</v>
      </c>
      <c r="D33" t="e">
        <f>IF(K34&gt;0,K34,"")</f>
        <v>#DIV/0!</v>
      </c>
      <c r="E33" s="17" t="e">
        <f>D15-F33</f>
        <v>#VALUE!</v>
      </c>
      <c r="F33" s="17" t="e">
        <f>(F14-D14)+(F13-D13)</f>
        <v>#VALUE!</v>
      </c>
      <c r="G33" s="90" t="s">
        <v>30</v>
      </c>
      <c r="H33" s="91" t="e">
        <f>SUM(H9:H32)</f>
        <v>#DIV/0!</v>
      </c>
      <c r="I33" s="91">
        <f>SUM(I9:I32)</f>
        <v>1000</v>
      </c>
      <c r="J33" s="91" t="e">
        <f>MAX(J9:J32)</f>
        <v>#DIV/0!</v>
      </c>
      <c r="K33" s="91" t="e">
        <f>IF(H33&gt;H65,(H33-I33),"")</f>
        <v>#DIV/0!</v>
      </c>
      <c r="M33">
        <v>25</v>
      </c>
    </row>
    <row r="34" spans="1:26" x14ac:dyDescent="0.25">
      <c r="B34" s="14">
        <f>SUM(B9:B33)</f>
        <v>100</v>
      </c>
      <c r="C34" s="14">
        <f>SUM(C9:C32)</f>
        <v>100.00000000000001</v>
      </c>
      <c r="D34" s="18" t="e">
        <f>SUM(D10:D33)</f>
        <v>#DIV/0!</v>
      </c>
      <c r="G34" s="337" t="s">
        <v>31</v>
      </c>
      <c r="H34" s="338"/>
      <c r="I34" s="91"/>
      <c r="J34" s="91" t="e">
        <f>IF(B6&gt;0,B6+D33,"")</f>
        <v>#DIV/0!</v>
      </c>
      <c r="K34" s="91" t="e">
        <f>SUM(K9:K32)</f>
        <v>#DIV/0!</v>
      </c>
    </row>
    <row r="35" spans="1:26" x14ac:dyDescent="0.25">
      <c r="A35">
        <f>'OK OK'!A3</f>
        <v>0</v>
      </c>
      <c r="B35" t="s">
        <v>14</v>
      </c>
      <c r="C35" t="s">
        <v>15</v>
      </c>
      <c r="D35" t="s">
        <v>8</v>
      </c>
      <c r="E35" t="s">
        <v>9</v>
      </c>
      <c r="F35" t="s">
        <v>234</v>
      </c>
      <c r="G35" t="s">
        <v>56</v>
      </c>
      <c r="H35" t="s">
        <v>57</v>
      </c>
      <c r="I35" t="s">
        <v>58</v>
      </c>
      <c r="J35" t="s">
        <v>77</v>
      </c>
      <c r="K35" t="s">
        <v>204</v>
      </c>
      <c r="L35" t="s">
        <v>16</v>
      </c>
      <c r="M35" t="s">
        <v>12</v>
      </c>
      <c r="N35" t="s">
        <v>44</v>
      </c>
      <c r="O35" t="s">
        <v>55</v>
      </c>
      <c r="P35" t="s">
        <v>17</v>
      </c>
      <c r="Q35" t="s">
        <v>80</v>
      </c>
      <c r="R35" t="s">
        <v>81</v>
      </c>
      <c r="S35" t="s">
        <v>82</v>
      </c>
      <c r="T35" t="s">
        <v>83</v>
      </c>
      <c r="U35" t="s">
        <v>45</v>
      </c>
      <c r="V35" t="s">
        <v>43</v>
      </c>
      <c r="W35" t="s">
        <v>13</v>
      </c>
      <c r="X35" t="s">
        <v>0</v>
      </c>
      <c r="Y35" t="s">
        <v>11</v>
      </c>
      <c r="Z35" t="s">
        <v>10</v>
      </c>
    </row>
    <row r="36" spans="1:26" x14ac:dyDescent="0.25">
      <c r="A36" s="124" t="str">
        <f>'OK OK'!A4</f>
        <v>Composition in the crucible</v>
      </c>
      <c r="B36">
        <f>'OK OK'!B4</f>
        <v>94.328499999999991</v>
      </c>
      <c r="C36">
        <f>'OK OK'!C4</f>
        <v>0.89</v>
      </c>
      <c r="D36">
        <f>'OK OK'!D4</f>
        <v>1.43</v>
      </c>
      <c r="E36">
        <f>'OK OK'!E4</f>
        <v>0</v>
      </c>
      <c r="F36">
        <f>'OK OK'!F4</f>
        <v>0</v>
      </c>
      <c r="G36">
        <f>'OK OK'!G4</f>
        <v>0.2</v>
      </c>
      <c r="H36">
        <f>'OK OK'!H4</f>
        <v>5.0000000000000001E-3</v>
      </c>
      <c r="I36">
        <f>'OK OK'!I4</f>
        <v>1E-3</v>
      </c>
      <c r="J36">
        <f>'OK OK'!J4</f>
        <v>1E-3</v>
      </c>
      <c r="K36">
        <f>'OK OK'!K4</f>
        <v>1.5E-3</v>
      </c>
      <c r="L36">
        <f>'OK OK'!L4</f>
        <v>1.6</v>
      </c>
      <c r="M36">
        <f>'OK OK'!M4</f>
        <v>1E-3</v>
      </c>
      <c r="N36">
        <f>'OK OK'!N4</f>
        <v>1.3</v>
      </c>
      <c r="O36">
        <f>'OK OK'!O4</f>
        <v>0.19</v>
      </c>
      <c r="P36">
        <f>'OK OK'!P4</f>
        <v>0</v>
      </c>
      <c r="Q36">
        <f>'OK OK'!Q4</f>
        <v>5.1999999999999998E-2</v>
      </c>
      <c r="R36">
        <f>'OK OK'!R4</f>
        <v>0</v>
      </c>
      <c r="S36">
        <f>'OK OK'!S4</f>
        <v>0</v>
      </c>
      <c r="T36">
        <f>'OK OK'!T4</f>
        <v>0</v>
      </c>
      <c r="U36">
        <f>'OK OK'!U4</f>
        <v>0</v>
      </c>
      <c r="V36">
        <f>'OK OK'!V4</f>
        <v>0</v>
      </c>
      <c r="W36">
        <f>'OK OK'!W4</f>
        <v>0</v>
      </c>
      <c r="X36">
        <f>'OK OK'!X4</f>
        <v>0</v>
      </c>
      <c r="Y36">
        <f>'OK OK'!Y4</f>
        <v>0</v>
      </c>
      <c r="Z36">
        <f>'OK OK'!Z4</f>
        <v>0</v>
      </c>
    </row>
    <row r="37" spans="1:26" x14ac:dyDescent="0.25">
      <c r="A37" s="96" t="s">
        <v>165</v>
      </c>
      <c r="B37" t="e">
        <f>100-C37-D37-E37-F37-G37-H37-I37-J37-K37-L37-M37-N37-O37-P37-Q37-R37-S37-T37-U37-V37-W37-X37-Y37-Z37</f>
        <v>#DIV/0!</v>
      </c>
      <c r="C37" t="e">
        <f>C36/G6</f>
        <v>#DIV/0!</v>
      </c>
      <c r="D37" t="e">
        <f>D36/G6</f>
        <v>#DIV/0!</v>
      </c>
      <c r="E37" t="e">
        <f>E36/G6</f>
        <v>#DIV/0!</v>
      </c>
      <c r="F37" t="e">
        <f>F36/G6</f>
        <v>#DIV/0!</v>
      </c>
      <c r="G37" t="e">
        <f>G36/G6</f>
        <v>#DIV/0!</v>
      </c>
      <c r="H37" t="e">
        <f>H36/G6</f>
        <v>#DIV/0!</v>
      </c>
      <c r="I37" t="e">
        <f>I36/G6</f>
        <v>#DIV/0!</v>
      </c>
      <c r="J37" t="e">
        <f>J36/G6</f>
        <v>#DIV/0!</v>
      </c>
      <c r="K37" t="e">
        <f>K36/G6</f>
        <v>#DIV/0!</v>
      </c>
      <c r="L37" t="e">
        <f>L36/G6</f>
        <v>#DIV/0!</v>
      </c>
      <c r="M37" t="e">
        <f>M36/G6</f>
        <v>#DIV/0!</v>
      </c>
      <c r="N37" t="e">
        <f>N36/G6</f>
        <v>#DIV/0!</v>
      </c>
      <c r="O37" t="e">
        <f>O36/G6</f>
        <v>#DIV/0!</v>
      </c>
      <c r="P37" t="e">
        <f>P36/G6</f>
        <v>#DIV/0!</v>
      </c>
      <c r="Q37" t="e">
        <f>Q36/G6</f>
        <v>#DIV/0!</v>
      </c>
      <c r="R37" t="e">
        <f>R36/G6</f>
        <v>#DIV/0!</v>
      </c>
      <c r="S37" t="e">
        <f>S36/G6</f>
        <v>#DIV/0!</v>
      </c>
      <c r="T37" t="e">
        <f>T36/G6</f>
        <v>#DIV/0!</v>
      </c>
      <c r="U37" t="e">
        <f>U36/G6</f>
        <v>#DIV/0!</v>
      </c>
      <c r="V37" t="e">
        <f>V36/G6</f>
        <v>#DIV/0!</v>
      </c>
      <c r="W37" t="e">
        <f>W36/G6</f>
        <v>#DIV/0!</v>
      </c>
      <c r="X37" t="e">
        <f>X36/G6</f>
        <v>#DIV/0!</v>
      </c>
      <c r="Y37" t="e">
        <f>Y36/G6</f>
        <v>#DIV/0!</v>
      </c>
      <c r="Z37" t="e">
        <f>Z36/G6</f>
        <v>#DIV/0!</v>
      </c>
    </row>
    <row r="54" spans="1:51" ht="18.75" x14ac:dyDescent="0.3">
      <c r="B54" s="210" t="s">
        <v>14</v>
      </c>
      <c r="C54" s="210" t="s">
        <v>15</v>
      </c>
      <c r="D54" s="210" t="s">
        <v>8</v>
      </c>
      <c r="E54" s="210" t="s">
        <v>9</v>
      </c>
      <c r="F54" s="210" t="s">
        <v>234</v>
      </c>
      <c r="G54" s="210" t="s">
        <v>56</v>
      </c>
      <c r="H54" s="210" t="s">
        <v>57</v>
      </c>
      <c r="I54" s="210" t="s">
        <v>58</v>
      </c>
      <c r="J54" s="210" t="s">
        <v>77</v>
      </c>
      <c r="K54" s="210" t="s">
        <v>204</v>
      </c>
      <c r="L54" s="210" t="s">
        <v>16</v>
      </c>
      <c r="M54" s="210" t="s">
        <v>12</v>
      </c>
      <c r="N54" s="210" t="s">
        <v>44</v>
      </c>
      <c r="O54" s="210" t="s">
        <v>55</v>
      </c>
      <c r="P54" s="210" t="s">
        <v>17</v>
      </c>
      <c r="Q54" s="210" t="s">
        <v>80</v>
      </c>
      <c r="R54" s="210" t="s">
        <v>81</v>
      </c>
      <c r="S54" s="210" t="s">
        <v>82</v>
      </c>
      <c r="T54" s="210" t="s">
        <v>83</v>
      </c>
      <c r="U54" s="210" t="s">
        <v>45</v>
      </c>
      <c r="V54" s="210" t="s">
        <v>43</v>
      </c>
      <c r="W54" s="210" t="s">
        <v>13</v>
      </c>
      <c r="X54" s="210" t="s">
        <v>0</v>
      </c>
      <c r="Y54" s="210" t="s">
        <v>11</v>
      </c>
      <c r="Z54" s="210" t="s">
        <v>10</v>
      </c>
      <c r="AA54" s="211" t="s">
        <v>14</v>
      </c>
      <c r="AB54" s="212" t="s">
        <v>15</v>
      </c>
      <c r="AC54" s="213" t="s">
        <v>8</v>
      </c>
      <c r="AD54" s="214" t="s">
        <v>9</v>
      </c>
      <c r="AE54" s="213" t="s">
        <v>234</v>
      </c>
      <c r="AF54" s="213" t="s">
        <v>56</v>
      </c>
      <c r="AG54" s="214" t="s">
        <v>57</v>
      </c>
      <c r="AH54" s="213" t="s">
        <v>58</v>
      </c>
      <c r="AI54" s="215" t="s">
        <v>77</v>
      </c>
      <c r="AJ54" s="216" t="s">
        <v>204</v>
      </c>
      <c r="AK54" s="216" t="s">
        <v>16</v>
      </c>
      <c r="AL54" s="210" t="s">
        <v>13</v>
      </c>
      <c r="AM54" s="215" t="s">
        <v>44</v>
      </c>
      <c r="AN54" s="216" t="s">
        <v>55</v>
      </c>
      <c r="AO54" s="210" t="s">
        <v>17</v>
      </c>
      <c r="AP54" s="210" t="s">
        <v>80</v>
      </c>
      <c r="AQ54" s="210" t="s">
        <v>81</v>
      </c>
      <c r="AR54" s="210" t="s">
        <v>82</v>
      </c>
      <c r="AS54" s="210" t="s">
        <v>83</v>
      </c>
      <c r="AT54" s="210" t="s">
        <v>45</v>
      </c>
      <c r="AU54" s="210" t="s">
        <v>43</v>
      </c>
      <c r="AV54" s="210" t="s">
        <v>12</v>
      </c>
      <c r="AW54" s="210" t="s">
        <v>0</v>
      </c>
      <c r="AX54" s="210" t="s">
        <v>11</v>
      </c>
      <c r="AY54" s="210" t="s">
        <v>10</v>
      </c>
    </row>
    <row r="55" spans="1:51" ht="18.75" x14ac:dyDescent="0.3">
      <c r="B55" s="36" t="e">
        <f>100-C55-D55-E55-F55-G55-H55-I55-J55-K55-L55-M55-N55-O55-P55-Q55-R55-S55-T55-U55-V55-W55-X55-Y55-Z55</f>
        <v>#DIV/0!</v>
      </c>
      <c r="C55" s="37" t="e">
        <f>C37</f>
        <v>#DIV/0!</v>
      </c>
      <c r="D55" s="37" t="e">
        <f t="shared" ref="D55:Z55" si="7">D37</f>
        <v>#DIV/0!</v>
      </c>
      <c r="E55" s="37" t="e">
        <f t="shared" si="7"/>
        <v>#DIV/0!</v>
      </c>
      <c r="F55" s="37" t="e">
        <f t="shared" si="7"/>
        <v>#DIV/0!</v>
      </c>
      <c r="G55" s="37" t="e">
        <f t="shared" si="7"/>
        <v>#DIV/0!</v>
      </c>
      <c r="H55" s="37" t="e">
        <f t="shared" si="7"/>
        <v>#DIV/0!</v>
      </c>
      <c r="I55" s="37" t="e">
        <f t="shared" si="7"/>
        <v>#DIV/0!</v>
      </c>
      <c r="J55" s="37" t="e">
        <f t="shared" si="7"/>
        <v>#DIV/0!</v>
      </c>
      <c r="K55" s="37" t="e">
        <f t="shared" si="7"/>
        <v>#DIV/0!</v>
      </c>
      <c r="L55" s="37" t="e">
        <f t="shared" si="7"/>
        <v>#DIV/0!</v>
      </c>
      <c r="M55" s="37" t="e">
        <f t="shared" si="7"/>
        <v>#DIV/0!</v>
      </c>
      <c r="N55" s="37" t="e">
        <f t="shared" si="7"/>
        <v>#DIV/0!</v>
      </c>
      <c r="O55" s="37" t="e">
        <f t="shared" si="7"/>
        <v>#DIV/0!</v>
      </c>
      <c r="P55" s="37" t="e">
        <f t="shared" si="7"/>
        <v>#DIV/0!</v>
      </c>
      <c r="Q55" s="37" t="e">
        <f t="shared" si="7"/>
        <v>#DIV/0!</v>
      </c>
      <c r="R55" s="37" t="e">
        <f t="shared" si="7"/>
        <v>#DIV/0!</v>
      </c>
      <c r="S55" s="37" t="e">
        <f t="shared" si="7"/>
        <v>#DIV/0!</v>
      </c>
      <c r="T55" s="37" t="e">
        <f t="shared" si="7"/>
        <v>#DIV/0!</v>
      </c>
      <c r="U55" s="37" t="e">
        <f t="shared" si="7"/>
        <v>#DIV/0!</v>
      </c>
      <c r="V55" s="37" t="e">
        <f t="shared" si="7"/>
        <v>#DIV/0!</v>
      </c>
      <c r="W55" s="37" t="e">
        <f t="shared" si="7"/>
        <v>#DIV/0!</v>
      </c>
      <c r="X55" s="37" t="e">
        <f t="shared" si="7"/>
        <v>#DIV/0!</v>
      </c>
      <c r="Y55" s="37" t="e">
        <f t="shared" si="7"/>
        <v>#DIV/0!</v>
      </c>
      <c r="Z55" s="37" t="e">
        <f t="shared" si="7"/>
        <v>#DIV/0!</v>
      </c>
      <c r="AA55" s="219">
        <v>55.84</v>
      </c>
      <c r="AB55" s="219">
        <v>28.0855</v>
      </c>
      <c r="AC55" s="219">
        <v>58.693399999999997</v>
      </c>
      <c r="AD55" s="219">
        <v>63.545999999999999</v>
      </c>
      <c r="AE55" s="219">
        <v>65.38</v>
      </c>
      <c r="AF55" s="219">
        <v>12.01</v>
      </c>
      <c r="AG55" s="219">
        <v>30.973762000000001</v>
      </c>
      <c r="AH55" s="219">
        <v>32.064999999999998</v>
      </c>
      <c r="AI55" s="219">
        <v>14.0067</v>
      </c>
      <c r="AJ55" s="219">
        <v>10.81</v>
      </c>
      <c r="AK55" s="219">
        <v>54.938043999999998</v>
      </c>
      <c r="AL55" s="219">
        <v>24.305</v>
      </c>
      <c r="AM55" s="219">
        <v>51.996099999999998</v>
      </c>
      <c r="AN55" s="219">
        <v>95.95</v>
      </c>
      <c r="AO55" s="220">
        <v>47.866999999999997</v>
      </c>
      <c r="AP55" s="220">
        <v>50.941499999999998</v>
      </c>
      <c r="AQ55" s="220">
        <v>92.906369999999995</v>
      </c>
      <c r="AR55" s="220">
        <v>183.84</v>
      </c>
      <c r="AS55" s="220">
        <v>180.94788</v>
      </c>
      <c r="AT55" s="220">
        <v>91.224000000000004</v>
      </c>
      <c r="AU55" s="220">
        <v>58.933194999999998</v>
      </c>
      <c r="AV55" s="220">
        <v>26.981539999999999</v>
      </c>
      <c r="AW55" s="219">
        <v>121.76</v>
      </c>
      <c r="AX55" s="219">
        <v>207.2</v>
      </c>
      <c r="AY55" s="219">
        <v>118.71</v>
      </c>
    </row>
    <row r="56" spans="1:51" ht="18.75" x14ac:dyDescent="0.3">
      <c r="A56" s="96" t="s">
        <v>166</v>
      </c>
      <c r="B56" s="36" t="e">
        <f>100*((((B55)/(AA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C56" s="36" t="e">
        <f>100*((((C55)/(AB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D56" s="36" t="e">
        <f>100*((((D55)/(AC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E56" s="36" t="e">
        <f>100*((((E55)/(AD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F56" s="36" t="e">
        <f>100*((((F55)/(AE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G56" s="36" t="e">
        <f>100*((((G55)/(AF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H56" s="36" t="e">
        <f>100*((((H55)/(AG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I56" s="36" t="e">
        <f>100*((((I55)/(AH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J56" s="36" t="e">
        <f>100*((((J55)/(AI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K56" s="36" t="e">
        <f>100*((((K55)/(AJ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L56" s="36" t="e">
        <f>100*((((L55)/(AK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M56" s="36" t="e">
        <f>100*((((M55)/(AL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N56" s="36" t="e">
        <f>100*((((N55)/(AM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O56" s="36" t="e">
        <f>100*((((O55)/(AN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P56" s="36" t="e">
        <f>100*((((P55)/(AO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Q56" s="36" t="e">
        <f>100*((((Q55)/(AP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R56" s="36" t="e">
        <f>100*((((R55)/(AQ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S56" s="36" t="e">
        <f>100*((((S55)/(AR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T56" s="36" t="e">
        <f>100*((((T55)/(AS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U56" s="36" t="e">
        <f>100*((((U55)/(AT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V56" s="36" t="e">
        <f>100*((((V55)/(AU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W56" s="36" t="e">
        <f>100*((((W55)/(AV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X56" s="7" t="e">
        <f>100*((((X55)/(AW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Y56" s="7" t="e">
        <f>100*((((Y55)/(AX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Z56" s="7" t="e">
        <f>100*((((Z55)/(AY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</sheetData>
  <mergeCells count="1">
    <mergeCell ref="G34:H34"/>
  </mergeCells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144F-3D65-4BEA-8683-E7BBC6910B14}">
  <dimension ref="A1:AY56"/>
  <sheetViews>
    <sheetView topLeftCell="A19" zoomScale="69" zoomScaleNormal="69" workbookViewId="0">
      <selection activeCell="AA54" sqref="AA54:AY55"/>
    </sheetView>
  </sheetViews>
  <sheetFormatPr baseColWidth="10" defaultRowHeight="15" x14ac:dyDescent="0.25"/>
  <cols>
    <col min="1" max="1" width="15.85546875" customWidth="1"/>
    <col min="4" max="4" width="13.5703125" customWidth="1"/>
    <col min="5" max="5" width="12.5703125" customWidth="1"/>
    <col min="6" max="6" width="13.5703125" customWidth="1"/>
  </cols>
  <sheetData>
    <row r="1" spans="1:51" ht="18.75" x14ac:dyDescent="0.3">
      <c r="A1" s="66" t="s">
        <v>14</v>
      </c>
      <c r="B1" s="66" t="s">
        <v>15</v>
      </c>
      <c r="C1" s="66" t="s">
        <v>8</v>
      </c>
      <c r="D1" s="66" t="s">
        <v>9</v>
      </c>
      <c r="E1" s="66" t="s">
        <v>234</v>
      </c>
      <c r="F1" s="66" t="s">
        <v>56</v>
      </c>
      <c r="G1" s="66" t="s">
        <v>57</v>
      </c>
      <c r="H1" s="66" t="s">
        <v>58</v>
      </c>
      <c r="I1" s="66" t="s">
        <v>77</v>
      </c>
      <c r="J1" s="66" t="s">
        <v>204</v>
      </c>
      <c r="K1" s="66" t="s">
        <v>16</v>
      </c>
      <c r="L1" s="66" t="s">
        <v>12</v>
      </c>
      <c r="M1" s="66" t="s">
        <v>44</v>
      </c>
      <c r="N1" s="66" t="s">
        <v>55</v>
      </c>
      <c r="O1" s="66" t="s">
        <v>17</v>
      </c>
      <c r="P1" s="66" t="s">
        <v>80</v>
      </c>
      <c r="Q1" s="66" t="s">
        <v>81</v>
      </c>
      <c r="R1" s="66" t="s">
        <v>82</v>
      </c>
      <c r="S1" s="66" t="s">
        <v>83</v>
      </c>
      <c r="T1" s="66" t="s">
        <v>45</v>
      </c>
      <c r="U1" s="66" t="s">
        <v>43</v>
      </c>
      <c r="V1" s="66" t="s">
        <v>13</v>
      </c>
      <c r="W1" s="66" t="s">
        <v>0</v>
      </c>
      <c r="X1" s="66" t="s">
        <v>11</v>
      </c>
      <c r="Y1" s="66" t="s">
        <v>10</v>
      </c>
      <c r="Z1" s="211" t="s">
        <v>14</v>
      </c>
      <c r="AA1" s="212" t="s">
        <v>15</v>
      </c>
      <c r="AB1" s="213" t="s">
        <v>8</v>
      </c>
      <c r="AC1" s="214" t="s">
        <v>9</v>
      </c>
      <c r="AD1" s="213" t="s">
        <v>234</v>
      </c>
      <c r="AE1" s="213" t="s">
        <v>56</v>
      </c>
      <c r="AF1" s="214" t="s">
        <v>57</v>
      </c>
      <c r="AG1" s="213" t="s">
        <v>58</v>
      </c>
      <c r="AH1" s="215" t="s">
        <v>77</v>
      </c>
      <c r="AI1" s="216" t="s">
        <v>204</v>
      </c>
      <c r="AJ1" s="216" t="s">
        <v>16</v>
      </c>
      <c r="AK1" s="210" t="s">
        <v>13</v>
      </c>
      <c r="AL1" s="215" t="s">
        <v>44</v>
      </c>
      <c r="AM1" s="216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12</v>
      </c>
      <c r="AV1" s="210" t="s">
        <v>0</v>
      </c>
      <c r="AW1" s="210" t="s">
        <v>11</v>
      </c>
      <c r="AX1" s="210" t="s">
        <v>10</v>
      </c>
      <c r="AY1" s="35"/>
    </row>
    <row r="2" spans="1:51" ht="18.75" x14ac:dyDescent="0.3">
      <c r="A2" s="36">
        <f>100-B2-C2-D2-E2-F2-G2-H2-I2-J2-K2-L2-M2-N2-O2-P2-Q2-R2-S2-T2-U2-V2-W2-X2-Y2</f>
        <v>94.328499999999991</v>
      </c>
      <c r="B2" s="37">
        <f>'OK OK'!C4</f>
        <v>0.89</v>
      </c>
      <c r="C2" s="37">
        <f>'OK OK'!D4</f>
        <v>1.43</v>
      </c>
      <c r="D2" s="37">
        <f>'OK OK'!E4</f>
        <v>0</v>
      </c>
      <c r="E2" s="37">
        <f>'OK OK'!F4</f>
        <v>0</v>
      </c>
      <c r="F2" s="37">
        <f>'OK OK'!G4</f>
        <v>0.2</v>
      </c>
      <c r="G2" s="37">
        <f>'OK OK'!H4</f>
        <v>5.0000000000000001E-3</v>
      </c>
      <c r="H2" s="37">
        <f>'OK OK'!I4</f>
        <v>1E-3</v>
      </c>
      <c r="I2" s="37">
        <f>'OK OK'!J4</f>
        <v>1E-3</v>
      </c>
      <c r="J2" s="37">
        <f>'OK OK'!K4</f>
        <v>1.5E-3</v>
      </c>
      <c r="K2" s="37">
        <f>'OK OK'!L4</f>
        <v>1.6</v>
      </c>
      <c r="L2" s="37">
        <f>'OK OK'!M4</f>
        <v>1E-3</v>
      </c>
      <c r="M2" s="37">
        <f>'OK OK'!N4</f>
        <v>1.3</v>
      </c>
      <c r="N2" s="37">
        <f>'OK OK'!O4</f>
        <v>0.19</v>
      </c>
      <c r="O2" s="37">
        <f>'OK OK'!P4</f>
        <v>0</v>
      </c>
      <c r="P2" s="37">
        <f>'OK OK'!Q4</f>
        <v>5.1999999999999998E-2</v>
      </c>
      <c r="Q2" s="37">
        <f>'OK OK'!R4</f>
        <v>0</v>
      </c>
      <c r="R2" s="37">
        <f>'OK OK'!S4</f>
        <v>0</v>
      </c>
      <c r="S2" s="37">
        <f>'OK OK'!T4</f>
        <v>0</v>
      </c>
      <c r="T2" s="37">
        <f>'OK OK'!U4</f>
        <v>0</v>
      </c>
      <c r="U2" s="37">
        <f>'OK OK'!V4</f>
        <v>0</v>
      </c>
      <c r="V2" s="37">
        <f>'OK OK'!W4</f>
        <v>0</v>
      </c>
      <c r="W2" s="37">
        <f>'OK OK'!X4</f>
        <v>0</v>
      </c>
      <c r="X2" s="37">
        <f>'OK OK'!Y4</f>
        <v>0</v>
      </c>
      <c r="Y2" s="37">
        <f>'OK OK'!Z4</f>
        <v>0</v>
      </c>
      <c r="Z2" s="219">
        <v>55.84</v>
      </c>
      <c r="AA2" s="219">
        <v>28.0855</v>
      </c>
      <c r="AB2" s="219">
        <v>58.693399999999997</v>
      </c>
      <c r="AC2" s="219">
        <v>63.545999999999999</v>
      </c>
      <c r="AD2" s="219">
        <v>65.38</v>
      </c>
      <c r="AE2" s="219">
        <v>12.01</v>
      </c>
      <c r="AF2" s="219">
        <v>30.973762000000001</v>
      </c>
      <c r="AG2" s="219">
        <v>32.064999999999998</v>
      </c>
      <c r="AH2" s="219">
        <v>14.0067</v>
      </c>
      <c r="AI2" s="219">
        <v>10.81</v>
      </c>
      <c r="AJ2" s="219">
        <v>54.938043999999998</v>
      </c>
      <c r="AK2" s="219">
        <v>24.305</v>
      </c>
      <c r="AL2" s="219">
        <v>51.996099999999998</v>
      </c>
      <c r="AM2" s="219">
        <v>95.95</v>
      </c>
      <c r="AN2" s="220">
        <v>47.866999999999997</v>
      </c>
      <c r="AO2" s="220">
        <v>50.941499999999998</v>
      </c>
      <c r="AP2" s="220">
        <v>92.906369999999995</v>
      </c>
      <c r="AQ2" s="220">
        <v>183.84</v>
      </c>
      <c r="AR2" s="220">
        <v>180.94788</v>
      </c>
      <c r="AS2" s="220">
        <v>91.224000000000004</v>
      </c>
      <c r="AT2" s="220">
        <v>58.933194999999998</v>
      </c>
      <c r="AU2" s="220">
        <v>26.981539999999999</v>
      </c>
      <c r="AV2" s="219">
        <v>121.76</v>
      </c>
      <c r="AW2" s="219">
        <v>207.2</v>
      </c>
      <c r="AX2" s="219">
        <v>118.71</v>
      </c>
      <c r="AY2" s="7"/>
    </row>
    <row r="3" spans="1:51" ht="18.75" x14ac:dyDescent="0.3">
      <c r="A3" s="36">
        <f>100*((((A2)/(Z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92.840162287943627</v>
      </c>
      <c r="B3" s="36">
        <f>100*((((B2)/(AA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1.741591189035695</v>
      </c>
      <c r="C3" s="36">
        <f>100*((((C2)/(AB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1.3390140731654472</v>
      </c>
      <c r="D3" s="36">
        <f>100*((((D2)/(AC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E3" s="36">
        <f>100*((((E2)/(AD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F3" s="36">
        <f>100*((((F2)/(AE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0.91521970155323784</v>
      </c>
      <c r="G3" s="36">
        <f>100*((((G2)/(AF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8.8718546811123438E-3</v>
      </c>
      <c r="H3" s="36">
        <f>100*((((H2)/(AG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1.7139854382745025E-3</v>
      </c>
      <c r="I3" s="36">
        <f>100*((((I2)/(AH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3.9237609914021089E-3</v>
      </c>
      <c r="J3" s="36">
        <f>100*((((J2)/(AI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7.6261253115085933E-3</v>
      </c>
      <c r="K3" s="36">
        <f>100*((((K2)/(AJ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1.6006086588236572</v>
      </c>
      <c r="L3" s="36">
        <f>100*((((L2)/(AK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2.2612196288118464E-3</v>
      </c>
      <c r="M3" s="36">
        <f>100*((((M2)/(AL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1.3740766327042508</v>
      </c>
      <c r="N3" s="36">
        <f>100*((((N2)/(AM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0.10882959025400381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P3" s="36">
        <f>100*((((P2)/(AO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5.6100920468972061E-2</v>
      </c>
      <c r="Q3" s="36">
        <f>100*((((Q2)/(AP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R3" s="36">
        <f>100*((((R2)/(AQ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S3" s="36">
        <f>100*((((S2)/(AR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T3" s="36">
        <f>100*((((T2)/(AS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U3" s="36">
        <f>100*((((U2)/(AT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V3" s="36">
        <f>100*((((V2)/(AU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W3" s="7">
        <f>100*((((W2)/(AV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X3" s="7">
        <f>100*((((X2)/(AW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Y3" s="7">
        <f>100*((((Y2)/(AX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51" ht="15.75" x14ac:dyDescent="0.25">
      <c r="A4" s="8" t="s">
        <v>18</v>
      </c>
      <c r="B4" s="9">
        <v>111</v>
      </c>
    </row>
    <row r="5" spans="1:51" ht="15.75" x14ac:dyDescent="0.25">
      <c r="A5" s="8" t="s">
        <v>19</v>
      </c>
      <c r="B5" s="9" t="s">
        <v>79</v>
      </c>
      <c r="C5" s="10"/>
    </row>
    <row r="6" spans="1:51" ht="15.75" x14ac:dyDescent="0.25">
      <c r="A6" s="8" t="s">
        <v>20</v>
      </c>
      <c r="B6" s="9">
        <f>'OK OK'!B13</f>
        <v>1000</v>
      </c>
      <c r="D6" s="8" t="s">
        <v>21</v>
      </c>
      <c r="E6" s="11" t="e">
        <f>IF(J33&gt;1,J33,"")</f>
        <v>#DIV/0!</v>
      </c>
      <c r="F6" s="12" t="s">
        <v>22</v>
      </c>
      <c r="G6" t="e">
        <f>E6/B6</f>
        <v>#DIV/0!</v>
      </c>
    </row>
    <row r="7" spans="1:51" ht="15.75" x14ac:dyDescent="0.25">
      <c r="A7" s="3"/>
      <c r="B7" t="s">
        <v>50</v>
      </c>
      <c r="C7" t="s">
        <v>51</v>
      </c>
    </row>
    <row r="8" spans="1:51" ht="18.75" x14ac:dyDescent="0.3">
      <c r="A8" s="3"/>
      <c r="B8" s="13" t="s">
        <v>23</v>
      </c>
      <c r="C8" s="13" t="s">
        <v>24</v>
      </c>
      <c r="D8" s="13" t="s">
        <v>25</v>
      </c>
      <c r="E8" s="19" t="s">
        <v>38</v>
      </c>
      <c r="F8" s="13" t="s">
        <v>25</v>
      </c>
      <c r="G8" s="10"/>
      <c r="H8" s="14" t="s">
        <v>26</v>
      </c>
      <c r="I8" s="14" t="s">
        <v>27</v>
      </c>
      <c r="J8" s="14" t="s">
        <v>28</v>
      </c>
      <c r="K8" s="14" t="s">
        <v>29</v>
      </c>
      <c r="Z8" s="57"/>
      <c r="AA8" s="58"/>
      <c r="AB8" s="59"/>
      <c r="AC8" s="60"/>
      <c r="AD8" s="59"/>
      <c r="AE8" s="59"/>
      <c r="AF8" s="60"/>
      <c r="AG8" s="59"/>
      <c r="AH8" s="61"/>
      <c r="AI8" s="62"/>
      <c r="AJ8" s="62"/>
      <c r="AK8" s="63"/>
      <c r="AL8" s="63"/>
      <c r="AM8" s="62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</row>
    <row r="9" spans="1:51" ht="18.75" x14ac:dyDescent="0.3">
      <c r="A9" s="66" t="s">
        <v>14</v>
      </c>
      <c r="B9" s="15">
        <f>TEOR.EQ_A_G_11!A3</f>
        <v>100</v>
      </c>
      <c r="C9" s="15">
        <f>TIG.EQ_At_G_1!A3</f>
        <v>94.332432355284283</v>
      </c>
      <c r="D9" s="16" t="e">
        <f>IF(K9&gt;0,K9,"")</f>
        <v>#DIV/0!</v>
      </c>
      <c r="E9" s="13" t="s">
        <v>56</v>
      </c>
      <c r="F9" s="20" t="e">
        <f t="shared" ref="F9:F12" si="0">D9</f>
        <v>#DIV/0!</v>
      </c>
      <c r="G9" s="90"/>
      <c r="H9" s="91" t="e">
        <f t="shared" ref="H9:H32" si="1">IF(B9&gt;0,$J$33*B9/100,"")</f>
        <v>#DIV/0!</v>
      </c>
      <c r="I9" s="91">
        <f>IF(C9&gt;0,$B$6*C9/100,"")</f>
        <v>943.32432355284288</v>
      </c>
      <c r="J9" s="91">
        <f>IF(B9&gt;0,I9/B9*100,"")</f>
        <v>943.324323552843</v>
      </c>
      <c r="K9" s="91" t="e">
        <f t="shared" ref="K9:K31" si="2">IF(H9&gt;H41,(H9-I9),"")</f>
        <v>#DIV/0!</v>
      </c>
      <c r="M9">
        <v>1</v>
      </c>
      <c r="O9" s="154" t="e">
        <f>D9</f>
        <v>#DIV/0!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V9" s="7"/>
      <c r="AW9" s="7"/>
      <c r="AX9" s="7"/>
    </row>
    <row r="10" spans="1:51" ht="18" x14ac:dyDescent="0.25">
      <c r="A10" s="66" t="s">
        <v>15</v>
      </c>
      <c r="B10" s="15">
        <f>TEOR.EQ_A_G_11!B3</f>
        <v>0</v>
      </c>
      <c r="C10" s="15">
        <f>TIG.EQ_At_G_1!B3</f>
        <v>0.89003710221410315</v>
      </c>
      <c r="D10" s="16" t="str">
        <f>IF(K10&gt;0,K10,"")</f>
        <v/>
      </c>
      <c r="E10" s="13" t="s">
        <v>16</v>
      </c>
      <c r="F10" s="20" t="e">
        <f>D10*5</f>
        <v>#VALUE!</v>
      </c>
      <c r="G10" s="90"/>
      <c r="H10" s="91" t="str">
        <f t="shared" si="1"/>
        <v/>
      </c>
      <c r="I10" s="91">
        <f t="shared" ref="I10:I16" si="3">IF(C10&gt;0,$B$6*C10/100,"")</f>
        <v>8.9003710221410319</v>
      </c>
      <c r="J10" s="91" t="str">
        <f>IF(B10&gt;0,I10/B10*100,"")</f>
        <v/>
      </c>
      <c r="K10" s="91" t="str">
        <f t="shared" si="2"/>
        <v/>
      </c>
      <c r="M10">
        <v>2</v>
      </c>
      <c r="O10" s="154" t="str">
        <f>D10</f>
        <v/>
      </c>
    </row>
    <row r="11" spans="1:51" ht="18" x14ac:dyDescent="0.25">
      <c r="A11" s="66" t="s">
        <v>8</v>
      </c>
      <c r="B11" s="15">
        <f>TEOR.EQ_A_G_11!C3</f>
        <v>0</v>
      </c>
      <c r="C11" s="15">
        <f>TIG.EQ_At_G_1!C3</f>
        <v>1.4300596136698511</v>
      </c>
      <c r="D11" s="16" t="str">
        <f t="shared" ref="D11:D32" si="4">IF(K11&gt;0,K11,"")</f>
        <v/>
      </c>
      <c r="E11" s="13" t="s">
        <v>13</v>
      </c>
      <c r="F11" s="20" t="str">
        <f t="shared" si="0"/>
        <v/>
      </c>
      <c r="G11" s="90"/>
      <c r="H11" s="91" t="str">
        <f t="shared" si="1"/>
        <v/>
      </c>
      <c r="I11" s="91">
        <f t="shared" si="3"/>
        <v>14.300596136698511</v>
      </c>
      <c r="J11" s="91" t="str">
        <f>IF(B11&gt;0,I11/B11*100,"")</f>
        <v/>
      </c>
      <c r="K11" s="91" t="str">
        <f t="shared" si="2"/>
        <v/>
      </c>
      <c r="M11">
        <v>3</v>
      </c>
      <c r="O11" s="154" t="str">
        <f>D11</f>
        <v/>
      </c>
    </row>
    <row r="12" spans="1:51" ht="18" x14ac:dyDescent="0.25">
      <c r="A12" s="66" t="s">
        <v>9</v>
      </c>
      <c r="B12" s="15">
        <f>TEOR.EQ_A_G_11!D3</f>
        <v>0</v>
      </c>
      <c r="C12" s="15">
        <f>TIG.EQ_At_G_1!D3</f>
        <v>0</v>
      </c>
      <c r="D12" s="16" t="str">
        <f t="shared" si="4"/>
        <v/>
      </c>
      <c r="E12" s="13" t="s">
        <v>15</v>
      </c>
      <c r="F12" s="20" t="str">
        <f t="shared" si="0"/>
        <v/>
      </c>
      <c r="G12" s="90"/>
      <c r="H12" s="91" t="str">
        <f t="shared" si="1"/>
        <v/>
      </c>
      <c r="I12" s="91" t="str">
        <f>IF(C12&gt;0,$B$6*C12/100,"")</f>
        <v/>
      </c>
      <c r="J12" s="91" t="str">
        <f>IF(B12&gt;0,I12/B12*100,"")</f>
        <v/>
      </c>
      <c r="K12" s="91" t="str">
        <f t="shared" si="2"/>
        <v/>
      </c>
      <c r="M12">
        <v>4</v>
      </c>
      <c r="O12" s="154" t="str">
        <f>D17</f>
        <v/>
      </c>
    </row>
    <row r="13" spans="1:51" ht="18" x14ac:dyDescent="0.25">
      <c r="A13" s="66" t="s">
        <v>234</v>
      </c>
      <c r="B13" s="15">
        <f>TEOR.EQ_A_G_11!E3</f>
        <v>0</v>
      </c>
      <c r="C13" s="15">
        <f>TIG.EQ_At_G_1!E3</f>
        <v>0</v>
      </c>
      <c r="D13" s="16" t="str">
        <f t="shared" si="4"/>
        <v/>
      </c>
      <c r="E13" s="13" t="s">
        <v>17</v>
      </c>
      <c r="F13" s="20" t="e">
        <f>D13*10</f>
        <v>#VALUE!</v>
      </c>
      <c r="G13" s="90"/>
      <c r="H13" s="91" t="str">
        <f t="shared" si="1"/>
        <v/>
      </c>
      <c r="I13" s="91" t="str">
        <f t="shared" si="3"/>
        <v/>
      </c>
      <c r="J13" s="91" t="str">
        <f>IF(B13&gt;0,I13/B13*100,"")</f>
        <v/>
      </c>
      <c r="K13" s="91" t="str">
        <f t="shared" si="2"/>
        <v/>
      </c>
      <c r="M13">
        <v>5</v>
      </c>
      <c r="O13" s="154" t="str">
        <f>D18</f>
        <v/>
      </c>
    </row>
    <row r="14" spans="1:51" ht="18" x14ac:dyDescent="0.25">
      <c r="A14" s="66" t="s">
        <v>56</v>
      </c>
      <c r="B14" s="15">
        <f>TEOR.EQ_A_G_11!F3</f>
        <v>0</v>
      </c>
      <c r="C14" s="15">
        <f>TIG.EQ_At_G_1!F3</f>
        <v>0.20533994550961771</v>
      </c>
      <c r="D14" s="16" t="str">
        <f t="shared" si="4"/>
        <v/>
      </c>
      <c r="E14" s="13" t="s">
        <v>45</v>
      </c>
      <c r="F14" s="20" t="e">
        <f>D14*10</f>
        <v>#VALUE!</v>
      </c>
      <c r="G14" s="90"/>
      <c r="H14" s="91" t="str">
        <f t="shared" si="1"/>
        <v/>
      </c>
      <c r="I14" s="91">
        <f t="shared" si="3"/>
        <v>2.0533994550961769</v>
      </c>
      <c r="J14" s="91" t="e">
        <f>IF(C14&gt;0.14,I14/B14*100,"")</f>
        <v>#DIV/0!</v>
      </c>
      <c r="K14" s="91" t="str">
        <f t="shared" si="2"/>
        <v/>
      </c>
      <c r="M14">
        <v>6</v>
      </c>
      <c r="O14" s="154" t="str">
        <f>D14</f>
        <v/>
      </c>
    </row>
    <row r="15" spans="1:51" ht="18" x14ac:dyDescent="0.25">
      <c r="A15" s="66" t="s">
        <v>57</v>
      </c>
      <c r="B15" s="15">
        <f>TEOR.EQ_A_G_11!G3</f>
        <v>0</v>
      </c>
      <c r="C15" s="15">
        <f>TIG.EQ_At_G_1!G3</f>
        <v>0</v>
      </c>
      <c r="D15" s="16" t="str">
        <f>IF(K15&gt;0,K15,"")</f>
        <v/>
      </c>
      <c r="E15" s="13" t="s">
        <v>14</v>
      </c>
      <c r="F15" s="20" t="e">
        <f>(F13-D13)+(F10-D10)+(F14-D14)</f>
        <v>#VALUE!</v>
      </c>
      <c r="G15" s="90"/>
      <c r="H15" s="91" t="str">
        <f t="shared" si="1"/>
        <v/>
      </c>
      <c r="I15" s="91" t="str">
        <f>IF(C15&gt;0,$B$6*C15/100,"")</f>
        <v/>
      </c>
      <c r="J15" s="91" t="str">
        <f>IF(B15&gt;0,I15/B15*100,"")</f>
        <v/>
      </c>
      <c r="K15" s="91" t="str">
        <f t="shared" si="2"/>
        <v/>
      </c>
      <c r="M15">
        <v>7</v>
      </c>
      <c r="O15" s="154"/>
    </row>
    <row r="16" spans="1:51" ht="18" x14ac:dyDescent="0.25">
      <c r="A16" s="66" t="s">
        <v>58</v>
      </c>
      <c r="B16" s="15">
        <f>TEOR.EQ_A_G_11!H3</f>
        <v>0</v>
      </c>
      <c r="C16" s="15">
        <f>TIG.EQ_At_G_1!H3</f>
        <v>0</v>
      </c>
      <c r="D16" s="16" t="str">
        <f t="shared" si="4"/>
        <v/>
      </c>
      <c r="E16" s="13"/>
      <c r="F16" s="21" t="e">
        <f>D16*10</f>
        <v>#VALUE!</v>
      </c>
      <c r="G16" s="90"/>
      <c r="H16" s="91" t="str">
        <f t="shared" si="1"/>
        <v/>
      </c>
      <c r="I16" s="91" t="str">
        <f t="shared" si="3"/>
        <v/>
      </c>
      <c r="J16" s="91" t="str">
        <f>IF(B16&gt;0,I16/B16*100,"")</f>
        <v/>
      </c>
      <c r="K16" s="91" t="str">
        <f t="shared" si="2"/>
        <v/>
      </c>
      <c r="M16">
        <v>8</v>
      </c>
      <c r="O16" s="154"/>
    </row>
    <row r="17" spans="1:15" ht="18" x14ac:dyDescent="0.25">
      <c r="A17" s="66" t="s">
        <v>77</v>
      </c>
      <c r="B17" s="15">
        <f>TEOR.EQ_A_G_11!I3</f>
        <v>0</v>
      </c>
      <c r="C17" s="15">
        <f>TIG.EQ_At_G_1!I3</f>
        <v>0</v>
      </c>
      <c r="D17" s="16" t="str">
        <f t="shared" si="4"/>
        <v/>
      </c>
      <c r="E17" s="13"/>
      <c r="F17" s="17" t="str">
        <f>D17</f>
        <v/>
      </c>
      <c r="G17" s="90"/>
      <c r="H17" s="91" t="str">
        <f t="shared" si="1"/>
        <v/>
      </c>
      <c r="I17" s="91" t="str">
        <f>IF(C17&gt;0,$B$6*C17/100,"")</f>
        <v/>
      </c>
      <c r="J17" s="91" t="str">
        <f>IF(B17&gt;0,I17/B17*100,"")</f>
        <v/>
      </c>
      <c r="K17" s="91" t="str">
        <f t="shared" si="2"/>
        <v/>
      </c>
      <c r="M17">
        <v>9</v>
      </c>
      <c r="O17" s="154"/>
    </row>
    <row r="18" spans="1:15" ht="18" x14ac:dyDescent="0.25">
      <c r="A18" s="66" t="s">
        <v>204</v>
      </c>
      <c r="B18" s="15">
        <f>TEOR.EQ_A_G_11!J3</f>
        <v>0</v>
      </c>
      <c r="C18" s="15">
        <f>TIG.EQ_At_G_1!J3</f>
        <v>0</v>
      </c>
      <c r="D18" s="92" t="str">
        <f t="shared" si="4"/>
        <v/>
      </c>
      <c r="H18" s="91" t="str">
        <f t="shared" si="1"/>
        <v/>
      </c>
      <c r="I18" s="91" t="str">
        <f t="shared" ref="I18:I32" si="5">IF(C18&gt;0,$B$6*C18/100,"")</f>
        <v/>
      </c>
      <c r="J18" s="91" t="str">
        <f t="shared" ref="J18:J32" si="6">IF(B18&gt;0,I18/B18*100,"")</f>
        <v/>
      </c>
      <c r="K18" s="91" t="str">
        <f>IF(H18&gt;H50,(H18-I18),"")</f>
        <v/>
      </c>
      <c r="M18">
        <v>10</v>
      </c>
      <c r="O18" s="154" t="str">
        <f>D18</f>
        <v/>
      </c>
    </row>
    <row r="19" spans="1:15" ht="18" x14ac:dyDescent="0.25">
      <c r="A19" s="66" t="s">
        <v>16</v>
      </c>
      <c r="B19" s="15">
        <f>TEOR.EQ_A_G_11!K3</f>
        <v>0</v>
      </c>
      <c r="C19" s="15">
        <f>TIG.EQ_At_G_1!K3</f>
        <v>1.6000667006096232</v>
      </c>
      <c r="D19" t="str">
        <f t="shared" si="4"/>
        <v/>
      </c>
      <c r="H19" s="91" t="str">
        <f t="shared" si="1"/>
        <v/>
      </c>
      <c r="I19" s="91">
        <f t="shared" si="5"/>
        <v>16.000667006096233</v>
      </c>
      <c r="J19" s="91" t="str">
        <f t="shared" si="6"/>
        <v/>
      </c>
      <c r="K19" s="91" t="str">
        <f t="shared" si="2"/>
        <v/>
      </c>
      <c r="M19">
        <v>11</v>
      </c>
      <c r="O19" s="154" t="str">
        <f>D19</f>
        <v/>
      </c>
    </row>
    <row r="20" spans="1:15" ht="18" x14ac:dyDescent="0.25">
      <c r="A20" s="66" t="s">
        <v>12</v>
      </c>
      <c r="B20" s="15">
        <f>TEOR.EQ_A_G_11!L3</f>
        <v>0</v>
      </c>
      <c r="C20" s="15">
        <f>TIG.EQ_At_G_1!L3</f>
        <v>0</v>
      </c>
      <c r="D20" t="str">
        <f t="shared" si="4"/>
        <v/>
      </c>
      <c r="H20" s="91" t="str">
        <f t="shared" si="1"/>
        <v/>
      </c>
      <c r="I20" s="91" t="str">
        <f t="shared" si="5"/>
        <v/>
      </c>
      <c r="J20" s="91" t="str">
        <f t="shared" si="6"/>
        <v/>
      </c>
      <c r="K20" s="91" t="str">
        <f t="shared" si="2"/>
        <v/>
      </c>
      <c r="M20">
        <v>12</v>
      </c>
      <c r="O20" s="154" t="str">
        <f>D20</f>
        <v/>
      </c>
    </row>
    <row r="21" spans="1:15" ht="18" x14ac:dyDescent="0.25">
      <c r="A21" s="66" t="s">
        <v>44</v>
      </c>
      <c r="B21" s="15">
        <f>TEOR.EQ_A_G_11!M3</f>
        <v>0</v>
      </c>
      <c r="C21" s="15">
        <f>TIG.EQ_At_G_1!M3</f>
        <v>1.3000541942453192</v>
      </c>
      <c r="D21" t="str">
        <f t="shared" si="4"/>
        <v/>
      </c>
      <c r="H21" s="91" t="str">
        <f t="shared" si="1"/>
        <v/>
      </c>
      <c r="I21" s="91">
        <f t="shared" si="5"/>
        <v>13.000541942453191</v>
      </c>
      <c r="J21" s="91" t="str">
        <f t="shared" si="6"/>
        <v/>
      </c>
      <c r="K21" s="91" t="str">
        <f t="shared" si="2"/>
        <v/>
      </c>
      <c r="M21">
        <v>13</v>
      </c>
      <c r="O21" t="str">
        <f>D21</f>
        <v/>
      </c>
    </row>
    <row r="22" spans="1:15" ht="18" x14ac:dyDescent="0.25">
      <c r="A22" s="66" t="s">
        <v>55</v>
      </c>
      <c r="B22" s="15">
        <f>TEOR.EQ_A_G_11!N3</f>
        <v>0</v>
      </c>
      <c r="C22" s="15">
        <f>TIG.EQ_At_G_1!N3</f>
        <v>0.19000792069739278</v>
      </c>
      <c r="D22" t="str">
        <f t="shared" si="4"/>
        <v/>
      </c>
      <c r="H22" s="91" t="str">
        <f t="shared" si="1"/>
        <v/>
      </c>
      <c r="I22" s="91">
        <f t="shared" si="5"/>
        <v>1.9000792069739278</v>
      </c>
      <c r="J22" s="91" t="str">
        <f t="shared" si="6"/>
        <v/>
      </c>
      <c r="K22" s="91" t="str">
        <f t="shared" si="2"/>
        <v/>
      </c>
      <c r="M22">
        <v>14</v>
      </c>
    </row>
    <row r="23" spans="1:15" ht="18" x14ac:dyDescent="0.25">
      <c r="A23" s="66" t="s">
        <v>17</v>
      </c>
      <c r="B23" s="15">
        <f>TEOR.EQ_A_G_11!O3</f>
        <v>0</v>
      </c>
      <c r="C23" s="15">
        <f>TIG.EQ_At_G_1!O3</f>
        <v>0</v>
      </c>
      <c r="D23" t="str">
        <f t="shared" si="4"/>
        <v/>
      </c>
      <c r="H23" s="91" t="str">
        <f t="shared" si="1"/>
        <v/>
      </c>
      <c r="I23" s="91" t="str">
        <f t="shared" si="5"/>
        <v/>
      </c>
      <c r="J23" s="91" t="str">
        <f t="shared" si="6"/>
        <v/>
      </c>
      <c r="K23" s="91" t="str">
        <f>IF(H23&gt;H65,(H23-I23),"")</f>
        <v/>
      </c>
      <c r="M23">
        <v>15</v>
      </c>
    </row>
    <row r="24" spans="1:15" ht="18" x14ac:dyDescent="0.25">
      <c r="A24" s="66" t="s">
        <v>80</v>
      </c>
      <c r="B24" s="15">
        <f>TEOR.EQ_A_G_11!P3</f>
        <v>0</v>
      </c>
      <c r="C24" s="15">
        <f>TIG.EQ_At_G_1!P3</f>
        <v>5.2002167769812764E-2</v>
      </c>
      <c r="D24" t="str">
        <f t="shared" si="4"/>
        <v/>
      </c>
      <c r="E24" t="s">
        <v>90</v>
      </c>
      <c r="F24" s="3"/>
      <c r="G24" s="3"/>
      <c r="H24" s="91" t="str">
        <f t="shared" si="1"/>
        <v/>
      </c>
      <c r="I24" s="91">
        <f t="shared" si="5"/>
        <v>0.52002167769812768</v>
      </c>
      <c r="J24" s="91" t="str">
        <f t="shared" si="6"/>
        <v/>
      </c>
      <c r="K24" s="91" t="str">
        <f>IF(H24&gt;H66,(H24-I24),"")</f>
        <v/>
      </c>
      <c r="L24" s="3"/>
      <c r="M24">
        <v>16</v>
      </c>
    </row>
    <row r="25" spans="1:15" ht="18" x14ac:dyDescent="0.25">
      <c r="A25" s="66" t="s">
        <v>81</v>
      </c>
      <c r="B25" s="15">
        <f>TEOR.EQ_A_G_11!Q3</f>
        <v>0</v>
      </c>
      <c r="C25" s="15">
        <f>TIG.EQ_At_G_1!Q3</f>
        <v>0</v>
      </c>
      <c r="D25" t="str">
        <f t="shared" si="4"/>
        <v/>
      </c>
      <c r="F25" s="69"/>
      <c r="G25" s="69"/>
      <c r="H25" s="91" t="str">
        <f t="shared" si="1"/>
        <v/>
      </c>
      <c r="I25" s="91" t="str">
        <f t="shared" si="5"/>
        <v/>
      </c>
      <c r="J25" s="91" t="str">
        <f t="shared" si="6"/>
        <v/>
      </c>
      <c r="K25" s="91" t="str">
        <f t="shared" si="2"/>
        <v/>
      </c>
      <c r="L25" s="69"/>
      <c r="M25">
        <v>17</v>
      </c>
    </row>
    <row r="26" spans="1:15" ht="18" x14ac:dyDescent="0.25">
      <c r="A26" s="66" t="s">
        <v>82</v>
      </c>
      <c r="B26" s="15">
        <f>TEOR.EQ_A_G_11!R3</f>
        <v>0</v>
      </c>
      <c r="C26" s="15">
        <f>TIG.EQ_At_G_1!R3</f>
        <v>0</v>
      </c>
      <c r="D26" t="str">
        <f t="shared" si="4"/>
        <v/>
      </c>
      <c r="E26" t="s">
        <v>91</v>
      </c>
      <c r="F26" s="4"/>
      <c r="G26" s="4"/>
      <c r="H26" s="91" t="str">
        <f t="shared" si="1"/>
        <v/>
      </c>
      <c r="I26" s="91" t="str">
        <f t="shared" si="5"/>
        <v/>
      </c>
      <c r="J26" s="91" t="str">
        <f t="shared" si="6"/>
        <v/>
      </c>
      <c r="K26" s="91" t="str">
        <f t="shared" si="2"/>
        <v/>
      </c>
      <c r="L26" s="4"/>
      <c r="M26">
        <v>18</v>
      </c>
    </row>
    <row r="27" spans="1:15" ht="18" x14ac:dyDescent="0.25">
      <c r="A27" s="66" t="s">
        <v>83</v>
      </c>
      <c r="B27" s="15">
        <f>TEOR.EQ_A_G_11!S3</f>
        <v>0</v>
      </c>
      <c r="C27" s="15">
        <f>TIG.EQ_At_G_1!S3</f>
        <v>0</v>
      </c>
      <c r="D27" t="str">
        <f t="shared" si="4"/>
        <v/>
      </c>
      <c r="H27" s="91" t="str">
        <f t="shared" si="1"/>
        <v/>
      </c>
      <c r="I27" s="91" t="str">
        <f t="shared" si="5"/>
        <v/>
      </c>
      <c r="J27" s="91" t="str">
        <f t="shared" si="6"/>
        <v/>
      </c>
      <c r="K27" s="91" t="str">
        <f t="shared" si="2"/>
        <v/>
      </c>
      <c r="M27">
        <v>19</v>
      </c>
    </row>
    <row r="28" spans="1:15" ht="18" x14ac:dyDescent="0.25">
      <c r="A28" s="66" t="s">
        <v>45</v>
      </c>
      <c r="B28" s="15">
        <f>TEOR.EQ_A_G_11!T3</f>
        <v>0</v>
      </c>
      <c r="C28" s="15">
        <f>TIG.EQ_At_G_1!T3</f>
        <v>0</v>
      </c>
      <c r="D28" t="str">
        <f t="shared" si="4"/>
        <v/>
      </c>
      <c r="H28" s="91" t="str">
        <f t="shared" si="1"/>
        <v/>
      </c>
      <c r="I28" s="91" t="str">
        <f t="shared" si="5"/>
        <v/>
      </c>
      <c r="J28" s="91" t="str">
        <f t="shared" si="6"/>
        <v/>
      </c>
      <c r="K28" s="91" t="str">
        <f t="shared" si="2"/>
        <v/>
      </c>
      <c r="M28">
        <v>20</v>
      </c>
    </row>
    <row r="29" spans="1:15" ht="18" x14ac:dyDescent="0.25">
      <c r="A29" s="66" t="s">
        <v>43</v>
      </c>
      <c r="B29" s="15">
        <f>TEOR.EQ_A_G_11!U3</f>
        <v>0</v>
      </c>
      <c r="C29" s="15">
        <f>TIG.EQ_At_G_1!U3</f>
        <v>0</v>
      </c>
      <c r="D29" t="str">
        <f t="shared" si="4"/>
        <v/>
      </c>
      <c r="H29" s="91" t="str">
        <f t="shared" si="1"/>
        <v/>
      </c>
      <c r="I29" s="91" t="str">
        <f t="shared" si="5"/>
        <v/>
      </c>
      <c r="J29" s="91" t="str">
        <f t="shared" si="6"/>
        <v/>
      </c>
      <c r="K29" s="91" t="str">
        <f t="shared" si="2"/>
        <v/>
      </c>
      <c r="M29">
        <v>21</v>
      </c>
    </row>
    <row r="30" spans="1:15" ht="18" x14ac:dyDescent="0.25">
      <c r="A30" s="66" t="s">
        <v>13</v>
      </c>
      <c r="B30" s="15">
        <f>TEOR.EQ_A_G_11!V3</f>
        <v>0</v>
      </c>
      <c r="C30" s="15">
        <f>TIG.EQ_At_G_1!V3</f>
        <v>0</v>
      </c>
      <c r="D30" t="str">
        <f t="shared" si="4"/>
        <v/>
      </c>
      <c r="H30" s="91" t="str">
        <f t="shared" si="1"/>
        <v/>
      </c>
      <c r="I30" s="91" t="str">
        <f t="shared" si="5"/>
        <v/>
      </c>
      <c r="J30" s="91" t="str">
        <f t="shared" si="6"/>
        <v/>
      </c>
      <c r="K30" s="91" t="str">
        <f t="shared" si="2"/>
        <v/>
      </c>
      <c r="M30">
        <v>22</v>
      </c>
    </row>
    <row r="31" spans="1:15" ht="18" x14ac:dyDescent="0.25">
      <c r="A31" s="66" t="s">
        <v>0</v>
      </c>
      <c r="B31" s="15">
        <f>TEOR.EQ_A_G_11!W3</f>
        <v>0</v>
      </c>
      <c r="C31" s="15">
        <f>TIG.EQ_At_G_1!W3</f>
        <v>0</v>
      </c>
      <c r="D31" t="str">
        <f t="shared" si="4"/>
        <v/>
      </c>
      <c r="H31" s="91" t="str">
        <f t="shared" si="1"/>
        <v/>
      </c>
      <c r="I31" s="91" t="str">
        <f t="shared" si="5"/>
        <v/>
      </c>
      <c r="J31" s="91" t="str">
        <f t="shared" si="6"/>
        <v/>
      </c>
      <c r="K31" s="91" t="str">
        <f t="shared" si="2"/>
        <v/>
      </c>
      <c r="M31">
        <v>23</v>
      </c>
    </row>
    <row r="32" spans="1:15" ht="18" x14ac:dyDescent="0.25">
      <c r="A32" s="66" t="s">
        <v>11</v>
      </c>
      <c r="B32" s="15">
        <f>TEOR.EQ_A_G_11!X3</f>
        <v>0</v>
      </c>
      <c r="C32" s="15">
        <f>TIG.EQ_At_G_1!X3</f>
        <v>0</v>
      </c>
      <c r="D32" t="str">
        <f t="shared" si="4"/>
        <v/>
      </c>
      <c r="H32" s="91" t="str">
        <f t="shared" si="1"/>
        <v/>
      </c>
      <c r="I32" s="91" t="str">
        <f t="shared" si="5"/>
        <v/>
      </c>
      <c r="J32" s="91" t="str">
        <f t="shared" si="6"/>
        <v/>
      </c>
      <c r="K32" s="91" t="str">
        <f>IF(H32&gt;H64,(H32-I32),"")</f>
        <v/>
      </c>
      <c r="M32">
        <v>24</v>
      </c>
    </row>
    <row r="33" spans="1:26" ht="18" x14ac:dyDescent="0.25">
      <c r="A33" s="66" t="s">
        <v>10</v>
      </c>
      <c r="B33" s="15">
        <f>TEOR.EQ_A_G_11!Y3</f>
        <v>0</v>
      </c>
      <c r="C33" s="15">
        <f>TIG.EQ_At_G_1!Y3</f>
        <v>0</v>
      </c>
      <c r="D33" t="e">
        <f>IF(K34&gt;0,K34,"")</f>
        <v>#DIV/0!</v>
      </c>
      <c r="E33" s="17" t="e">
        <f>D15-F33</f>
        <v>#VALUE!</v>
      </c>
      <c r="F33" s="17" t="e">
        <f>(F14-D14)+(F13-D13)</f>
        <v>#VALUE!</v>
      </c>
      <c r="G33" s="90" t="s">
        <v>30</v>
      </c>
      <c r="H33" s="91" t="e">
        <f>SUM(H9:H32)</f>
        <v>#DIV/0!</v>
      </c>
      <c r="I33" s="91">
        <f>SUM(I9:I32)</f>
        <v>1000</v>
      </c>
      <c r="J33" s="91" t="e">
        <f>MAX(J9:J32)</f>
        <v>#DIV/0!</v>
      </c>
      <c r="K33" s="91" t="e">
        <f>IF(H33&gt;H65,(H33-I33),"")</f>
        <v>#DIV/0!</v>
      </c>
      <c r="M33">
        <v>25</v>
      </c>
    </row>
    <row r="34" spans="1:26" x14ac:dyDescent="0.25">
      <c r="B34" s="14">
        <f>SUM(B9:B33)</f>
        <v>100</v>
      </c>
      <c r="C34" s="14">
        <f>SUM(C9:C32)</f>
        <v>100.00000000000001</v>
      </c>
      <c r="D34" s="18" t="e">
        <f>SUM(D10:D33)</f>
        <v>#DIV/0!</v>
      </c>
      <c r="G34" s="337" t="s">
        <v>31</v>
      </c>
      <c r="H34" s="338"/>
      <c r="I34" s="91"/>
      <c r="J34" s="91" t="e">
        <f>IF(B6&gt;0,B6+D33,"")</f>
        <v>#DIV/0!</v>
      </c>
      <c r="K34" s="91" t="e">
        <f>SUM(K9:K32)</f>
        <v>#DIV/0!</v>
      </c>
    </row>
    <row r="35" spans="1:26" ht="18" x14ac:dyDescent="0.25">
      <c r="A35">
        <f>'OK OK'!A3</f>
        <v>0</v>
      </c>
      <c r="B35" s="210" t="s">
        <v>14</v>
      </c>
      <c r="C35" s="210" t="s">
        <v>15</v>
      </c>
      <c r="D35" s="210" t="s">
        <v>8</v>
      </c>
      <c r="E35" s="210" t="s">
        <v>9</v>
      </c>
      <c r="F35" s="210" t="s">
        <v>234</v>
      </c>
      <c r="G35" s="210" t="s">
        <v>56</v>
      </c>
      <c r="H35" s="210" t="s">
        <v>57</v>
      </c>
      <c r="I35" s="210" t="s">
        <v>58</v>
      </c>
      <c r="J35" s="210" t="s">
        <v>77</v>
      </c>
      <c r="K35" s="210" t="s">
        <v>204</v>
      </c>
      <c r="L35" s="210" t="s">
        <v>16</v>
      </c>
      <c r="M35" s="210" t="s">
        <v>12</v>
      </c>
      <c r="N35" s="210" t="s">
        <v>44</v>
      </c>
      <c r="O35" s="210" t="s">
        <v>55</v>
      </c>
      <c r="P35" s="210" t="s">
        <v>17</v>
      </c>
      <c r="Q35" s="210" t="s">
        <v>80</v>
      </c>
      <c r="R35" s="210" t="s">
        <v>81</v>
      </c>
      <c r="S35" s="210" t="s">
        <v>82</v>
      </c>
      <c r="T35" s="210" t="s">
        <v>83</v>
      </c>
      <c r="U35" s="210" t="s">
        <v>45</v>
      </c>
      <c r="V35" s="210" t="s">
        <v>43</v>
      </c>
      <c r="W35" s="210" t="s">
        <v>13</v>
      </c>
      <c r="X35" s="210" t="s">
        <v>0</v>
      </c>
      <c r="Y35" s="210" t="s">
        <v>11</v>
      </c>
      <c r="Z35" s="210" t="s">
        <v>10</v>
      </c>
    </row>
    <row r="36" spans="1:26" x14ac:dyDescent="0.25">
      <c r="A36" s="124" t="str">
        <f>'OK OK'!A4</f>
        <v>Composition in the crucible</v>
      </c>
      <c r="B36">
        <f>'OK OK'!B4</f>
        <v>94.328499999999991</v>
      </c>
      <c r="C36">
        <f>'OK OK'!C4</f>
        <v>0.89</v>
      </c>
      <c r="D36">
        <f>'OK OK'!D4</f>
        <v>1.43</v>
      </c>
      <c r="E36">
        <f>'OK OK'!E4</f>
        <v>0</v>
      </c>
      <c r="F36">
        <f>'OK OK'!F4</f>
        <v>0</v>
      </c>
      <c r="G36">
        <f>'OK OK'!G4</f>
        <v>0.2</v>
      </c>
      <c r="H36">
        <f>'OK OK'!H4</f>
        <v>5.0000000000000001E-3</v>
      </c>
      <c r="I36">
        <f>'OK OK'!I4</f>
        <v>1E-3</v>
      </c>
      <c r="J36">
        <f>'OK OK'!J4</f>
        <v>1E-3</v>
      </c>
      <c r="K36">
        <f>'OK OK'!K4</f>
        <v>1.5E-3</v>
      </c>
      <c r="L36">
        <f>'OK OK'!L4</f>
        <v>1.6</v>
      </c>
      <c r="M36">
        <f>'OK OK'!M4</f>
        <v>1E-3</v>
      </c>
      <c r="N36">
        <f>'OK OK'!N4</f>
        <v>1.3</v>
      </c>
      <c r="O36">
        <f>'OK OK'!O4</f>
        <v>0.19</v>
      </c>
      <c r="P36">
        <f>'OK OK'!P4</f>
        <v>0</v>
      </c>
      <c r="Q36">
        <f>'OK OK'!Q4</f>
        <v>5.1999999999999998E-2</v>
      </c>
      <c r="R36">
        <f>'OK OK'!R4</f>
        <v>0</v>
      </c>
      <c r="S36">
        <f>'OK OK'!S4</f>
        <v>0</v>
      </c>
      <c r="T36">
        <f>'OK OK'!T4</f>
        <v>0</v>
      </c>
      <c r="U36">
        <f>'OK OK'!U4</f>
        <v>0</v>
      </c>
      <c r="V36">
        <f>'OK OK'!V4</f>
        <v>0</v>
      </c>
      <c r="W36">
        <f>'OK OK'!W4</f>
        <v>0</v>
      </c>
      <c r="X36">
        <f>'OK OK'!X4</f>
        <v>0</v>
      </c>
      <c r="Y36">
        <f>'OK OK'!Y4</f>
        <v>0</v>
      </c>
      <c r="Z36">
        <f>'OK OK'!Z4</f>
        <v>0</v>
      </c>
    </row>
    <row r="37" spans="1:26" x14ac:dyDescent="0.25">
      <c r="A37" s="96" t="s">
        <v>165</v>
      </c>
      <c r="B37" t="e">
        <f>100-C37-D37-E37-F37-G37-H37-I37-J37-K37-L37-M37-N37-O37-P37-Q37-R37-S37-T37-U37-V37-W37-X37-Y37-Z37</f>
        <v>#DIV/0!</v>
      </c>
      <c r="C37" t="e">
        <f>C36/G6</f>
        <v>#DIV/0!</v>
      </c>
      <c r="D37" t="e">
        <f>D36/G6</f>
        <v>#DIV/0!</v>
      </c>
      <c r="E37" t="e">
        <f>E36/G6</f>
        <v>#DIV/0!</v>
      </c>
      <c r="F37" t="e">
        <f>F36/G6</f>
        <v>#DIV/0!</v>
      </c>
      <c r="G37" t="e">
        <f>G36/G6</f>
        <v>#DIV/0!</v>
      </c>
      <c r="H37" t="e">
        <f>H36/G6</f>
        <v>#DIV/0!</v>
      </c>
      <c r="I37" t="e">
        <f>I36/G6</f>
        <v>#DIV/0!</v>
      </c>
      <c r="J37" t="e">
        <f>J36/G6</f>
        <v>#DIV/0!</v>
      </c>
      <c r="K37" t="e">
        <f>K36/G6</f>
        <v>#DIV/0!</v>
      </c>
      <c r="L37" t="e">
        <f>L36/G6</f>
        <v>#DIV/0!</v>
      </c>
      <c r="M37" t="e">
        <f>M36/G6</f>
        <v>#DIV/0!</v>
      </c>
      <c r="N37" t="e">
        <f>N36/G6</f>
        <v>#DIV/0!</v>
      </c>
      <c r="O37" t="e">
        <f>O36/G6</f>
        <v>#DIV/0!</v>
      </c>
      <c r="P37" t="e">
        <f>P36/G6</f>
        <v>#DIV/0!</v>
      </c>
      <c r="Q37" t="e">
        <f>Q36/G6</f>
        <v>#DIV/0!</v>
      </c>
      <c r="R37" t="e">
        <f>R36/G6</f>
        <v>#DIV/0!</v>
      </c>
      <c r="S37" t="e">
        <f>S36/G6</f>
        <v>#DIV/0!</v>
      </c>
      <c r="T37" t="e">
        <f>T36/G6</f>
        <v>#DIV/0!</v>
      </c>
      <c r="U37" t="e">
        <f>U36/G6</f>
        <v>#DIV/0!</v>
      </c>
      <c r="V37" t="e">
        <f>V36/G6</f>
        <v>#DIV/0!</v>
      </c>
      <c r="W37" t="e">
        <f>W36/G6</f>
        <v>#DIV/0!</v>
      </c>
      <c r="X37" t="e">
        <f>X36/G6</f>
        <v>#DIV/0!</v>
      </c>
      <c r="Y37" t="e">
        <f>Y36/G6</f>
        <v>#DIV/0!</v>
      </c>
      <c r="Z37" t="e">
        <f>Z36/G6</f>
        <v>#DIV/0!</v>
      </c>
    </row>
    <row r="54" spans="1:51" ht="18.75" x14ac:dyDescent="0.3">
      <c r="B54" s="210" t="s">
        <v>14</v>
      </c>
      <c r="C54" s="210" t="s">
        <v>15</v>
      </c>
      <c r="D54" s="210" t="s">
        <v>8</v>
      </c>
      <c r="E54" s="210" t="s">
        <v>9</v>
      </c>
      <c r="F54" s="210" t="s">
        <v>234</v>
      </c>
      <c r="G54" s="210" t="s">
        <v>56</v>
      </c>
      <c r="H54" s="210" t="s">
        <v>57</v>
      </c>
      <c r="I54" s="210" t="s">
        <v>58</v>
      </c>
      <c r="J54" s="210" t="s">
        <v>77</v>
      </c>
      <c r="K54" s="210" t="s">
        <v>204</v>
      </c>
      <c r="L54" s="210" t="s">
        <v>16</v>
      </c>
      <c r="M54" s="210" t="s">
        <v>12</v>
      </c>
      <c r="N54" s="210" t="s">
        <v>44</v>
      </c>
      <c r="O54" s="210" t="s">
        <v>55</v>
      </c>
      <c r="P54" s="210" t="s">
        <v>17</v>
      </c>
      <c r="Q54" s="210" t="s">
        <v>80</v>
      </c>
      <c r="R54" s="210" t="s">
        <v>81</v>
      </c>
      <c r="S54" s="210" t="s">
        <v>82</v>
      </c>
      <c r="T54" s="210" t="s">
        <v>83</v>
      </c>
      <c r="U54" s="210" t="s">
        <v>45</v>
      </c>
      <c r="V54" s="210" t="s">
        <v>43</v>
      </c>
      <c r="W54" s="210" t="s">
        <v>13</v>
      </c>
      <c r="X54" s="210" t="s">
        <v>0</v>
      </c>
      <c r="Y54" s="210" t="s">
        <v>11</v>
      </c>
      <c r="Z54" s="210" t="s">
        <v>10</v>
      </c>
      <c r="AA54" s="211" t="s">
        <v>14</v>
      </c>
      <c r="AB54" s="212" t="s">
        <v>15</v>
      </c>
      <c r="AC54" s="213" t="s">
        <v>8</v>
      </c>
      <c r="AD54" s="214" t="s">
        <v>9</v>
      </c>
      <c r="AE54" s="213" t="s">
        <v>234</v>
      </c>
      <c r="AF54" s="213" t="s">
        <v>56</v>
      </c>
      <c r="AG54" s="214" t="s">
        <v>57</v>
      </c>
      <c r="AH54" s="213" t="s">
        <v>58</v>
      </c>
      <c r="AI54" s="215" t="s">
        <v>77</v>
      </c>
      <c r="AJ54" s="216" t="s">
        <v>204</v>
      </c>
      <c r="AK54" s="216" t="s">
        <v>16</v>
      </c>
      <c r="AL54" s="210" t="s">
        <v>13</v>
      </c>
      <c r="AM54" s="215" t="s">
        <v>44</v>
      </c>
      <c r="AN54" s="216" t="s">
        <v>55</v>
      </c>
      <c r="AO54" s="210" t="s">
        <v>17</v>
      </c>
      <c r="AP54" s="210" t="s">
        <v>80</v>
      </c>
      <c r="AQ54" s="210" t="s">
        <v>81</v>
      </c>
      <c r="AR54" s="210" t="s">
        <v>82</v>
      </c>
      <c r="AS54" s="210" t="s">
        <v>83</v>
      </c>
      <c r="AT54" s="210" t="s">
        <v>45</v>
      </c>
      <c r="AU54" s="210" t="s">
        <v>43</v>
      </c>
      <c r="AV54" s="210" t="s">
        <v>12</v>
      </c>
      <c r="AW54" s="210" t="s">
        <v>0</v>
      </c>
      <c r="AX54" s="210" t="s">
        <v>11</v>
      </c>
      <c r="AY54" s="210" t="s">
        <v>10</v>
      </c>
    </row>
    <row r="55" spans="1:51" ht="18.75" x14ac:dyDescent="0.3">
      <c r="B55" s="36" t="e">
        <f>100-C55-D55-E55-F55-G55-H55-I55-J55-K55-L55-M55-N55-O55-P55-Q55-R55-S55-T55-U55-V55-W55-X55-Y55-Z55</f>
        <v>#DIV/0!</v>
      </c>
      <c r="C55" s="37" t="e">
        <f>C37</f>
        <v>#DIV/0!</v>
      </c>
      <c r="D55" s="37" t="e">
        <f t="shared" ref="D55:Z55" si="7">D37</f>
        <v>#DIV/0!</v>
      </c>
      <c r="E55" s="37" t="e">
        <f t="shared" si="7"/>
        <v>#DIV/0!</v>
      </c>
      <c r="F55" s="37" t="e">
        <f t="shared" si="7"/>
        <v>#DIV/0!</v>
      </c>
      <c r="G55" s="37" t="e">
        <f t="shared" si="7"/>
        <v>#DIV/0!</v>
      </c>
      <c r="H55" s="37" t="e">
        <f t="shared" si="7"/>
        <v>#DIV/0!</v>
      </c>
      <c r="I55" s="37" t="e">
        <f t="shared" si="7"/>
        <v>#DIV/0!</v>
      </c>
      <c r="J55" s="37" t="e">
        <f t="shared" si="7"/>
        <v>#DIV/0!</v>
      </c>
      <c r="K55" s="37" t="e">
        <f t="shared" si="7"/>
        <v>#DIV/0!</v>
      </c>
      <c r="L55" s="37" t="e">
        <f t="shared" si="7"/>
        <v>#DIV/0!</v>
      </c>
      <c r="M55" s="37" t="e">
        <f t="shared" si="7"/>
        <v>#DIV/0!</v>
      </c>
      <c r="N55" s="37" t="e">
        <f t="shared" si="7"/>
        <v>#DIV/0!</v>
      </c>
      <c r="O55" s="37" t="e">
        <f t="shared" si="7"/>
        <v>#DIV/0!</v>
      </c>
      <c r="P55" s="37" t="e">
        <f t="shared" si="7"/>
        <v>#DIV/0!</v>
      </c>
      <c r="Q55" s="37" t="e">
        <f t="shared" si="7"/>
        <v>#DIV/0!</v>
      </c>
      <c r="R55" s="37" t="e">
        <f t="shared" si="7"/>
        <v>#DIV/0!</v>
      </c>
      <c r="S55" s="37" t="e">
        <f t="shared" si="7"/>
        <v>#DIV/0!</v>
      </c>
      <c r="T55" s="37" t="e">
        <f t="shared" si="7"/>
        <v>#DIV/0!</v>
      </c>
      <c r="U55" s="37" t="e">
        <f t="shared" si="7"/>
        <v>#DIV/0!</v>
      </c>
      <c r="V55" s="37" t="e">
        <f t="shared" si="7"/>
        <v>#DIV/0!</v>
      </c>
      <c r="W55" s="37" t="e">
        <f t="shared" si="7"/>
        <v>#DIV/0!</v>
      </c>
      <c r="X55" s="37" t="e">
        <f t="shared" si="7"/>
        <v>#DIV/0!</v>
      </c>
      <c r="Y55" s="37" t="e">
        <f t="shared" si="7"/>
        <v>#DIV/0!</v>
      </c>
      <c r="Z55" s="37" t="e">
        <f t="shared" si="7"/>
        <v>#DIV/0!</v>
      </c>
      <c r="AA55" s="219">
        <v>55.84</v>
      </c>
      <c r="AB55" s="219">
        <v>28.0855</v>
      </c>
      <c r="AC55" s="219">
        <v>58.693399999999997</v>
      </c>
      <c r="AD55" s="219">
        <v>63.545999999999999</v>
      </c>
      <c r="AE55" s="219">
        <v>65.38</v>
      </c>
      <c r="AF55" s="219">
        <v>12.01</v>
      </c>
      <c r="AG55" s="219">
        <v>30.973762000000001</v>
      </c>
      <c r="AH55" s="219">
        <v>32.064999999999998</v>
      </c>
      <c r="AI55" s="219">
        <v>14.0067</v>
      </c>
      <c r="AJ55" s="219">
        <v>10.81</v>
      </c>
      <c r="AK55" s="219">
        <v>54.938043999999998</v>
      </c>
      <c r="AL55" s="219">
        <v>24.305</v>
      </c>
      <c r="AM55" s="219">
        <v>51.996099999999998</v>
      </c>
      <c r="AN55" s="219">
        <v>95.95</v>
      </c>
      <c r="AO55" s="220">
        <v>47.866999999999997</v>
      </c>
      <c r="AP55" s="220">
        <v>50.941499999999998</v>
      </c>
      <c r="AQ55" s="220">
        <v>92.906369999999995</v>
      </c>
      <c r="AR55" s="220">
        <v>183.84</v>
      </c>
      <c r="AS55" s="220">
        <v>180.94788</v>
      </c>
      <c r="AT55" s="220">
        <v>91.224000000000004</v>
      </c>
      <c r="AU55" s="220">
        <v>58.933194999999998</v>
      </c>
      <c r="AV55" s="220">
        <v>26.981539999999999</v>
      </c>
      <c r="AW55" s="219">
        <v>121.76</v>
      </c>
      <c r="AX55" s="219">
        <v>207.2</v>
      </c>
      <c r="AY55" s="219">
        <v>118.71</v>
      </c>
    </row>
    <row r="56" spans="1:51" ht="18.75" x14ac:dyDescent="0.3">
      <c r="A56" s="96" t="s">
        <v>166</v>
      </c>
      <c r="B56" s="36" t="e">
        <f>100*((((B55)/(AA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C56" s="36" t="e">
        <f>100*((((C55)/(AB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D56" s="36" t="e">
        <f>100*((((D55)/(AC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E56" s="36" t="e">
        <f>100*((((E55)/(AD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F56" s="36" t="e">
        <f>100*((((F55)/(AE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G56" s="36" t="e">
        <f>100*((((G55)/(AF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H56" s="36" t="e">
        <f>100*((((H55)/(AG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I56" s="36" t="e">
        <f>100*((((I55)/(AH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J56" s="36" t="e">
        <f>100*((((J55)/(AI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K56" s="36" t="e">
        <f>100*((((K55)/(AJ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L56" s="36" t="e">
        <f>100*((((L55)/(AK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M56" s="36" t="e">
        <f>100*((((M55)/(AL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N56" s="36" t="e">
        <f>100*((((N55)/(AM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O56" s="36" t="e">
        <f>100*((((O55)/(AN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P56" s="36" t="e">
        <f>100*((((P55)/(AO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Q56" s="36" t="e">
        <f>100*((((Q55)/(AP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R56" s="36" t="e">
        <f>100*((((R55)/(AQ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S56" s="36" t="e">
        <f>100*((((S55)/(AR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T56" s="36" t="e">
        <f>100*((((T55)/(AS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U56" s="36" t="e">
        <f>100*((((U55)/(AT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V56" s="36" t="e">
        <f>100*((((V55)/(AU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W56" s="36" t="e">
        <f>100*((((W55)/(AV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X56" s="7" t="e">
        <f>100*((((X55)/(AW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Y56" s="7" t="e">
        <f>100*((((Y55)/(AX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Z56" s="7" t="e">
        <f>100*((((Z55)/(AY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</sheetData>
  <mergeCells count="1">
    <mergeCell ref="G34:H34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458A-AF05-4A32-A194-D41309FA269D}">
  <dimension ref="A1:AY56"/>
  <sheetViews>
    <sheetView topLeftCell="I22" zoomScaleNormal="100" workbookViewId="0">
      <selection activeCell="AA54" sqref="AA54:AY55"/>
    </sheetView>
  </sheetViews>
  <sheetFormatPr baseColWidth="10" defaultRowHeight="15" x14ac:dyDescent="0.25"/>
  <cols>
    <col min="1" max="1" width="15.85546875" customWidth="1"/>
    <col min="4" max="4" width="13.5703125" customWidth="1"/>
    <col min="5" max="5" width="12.5703125" customWidth="1"/>
    <col min="6" max="6" width="13.5703125" customWidth="1"/>
  </cols>
  <sheetData>
    <row r="1" spans="1:51" ht="18.75" x14ac:dyDescent="0.3">
      <c r="A1" s="210" t="s">
        <v>14</v>
      </c>
      <c r="B1" s="210" t="s">
        <v>15</v>
      </c>
      <c r="C1" s="210" t="s">
        <v>8</v>
      </c>
      <c r="D1" s="210" t="s">
        <v>9</v>
      </c>
      <c r="E1" s="210" t="s">
        <v>234</v>
      </c>
      <c r="F1" s="210" t="s">
        <v>56</v>
      </c>
      <c r="G1" s="210" t="s">
        <v>57</v>
      </c>
      <c r="H1" s="210" t="s">
        <v>58</v>
      </c>
      <c r="I1" s="210" t="s">
        <v>77</v>
      </c>
      <c r="J1" s="210" t="s">
        <v>204</v>
      </c>
      <c r="K1" s="210" t="s">
        <v>16</v>
      </c>
      <c r="L1" s="210" t="s">
        <v>12</v>
      </c>
      <c r="M1" s="210" t="s">
        <v>44</v>
      </c>
      <c r="N1" s="210" t="s">
        <v>55</v>
      </c>
      <c r="O1" s="210" t="s">
        <v>17</v>
      </c>
      <c r="P1" s="210" t="s">
        <v>80</v>
      </c>
      <c r="Q1" s="210" t="s">
        <v>81</v>
      </c>
      <c r="R1" s="210" t="s">
        <v>82</v>
      </c>
      <c r="S1" s="210" t="s">
        <v>83</v>
      </c>
      <c r="T1" s="210" t="s">
        <v>45</v>
      </c>
      <c r="U1" s="210" t="s">
        <v>43</v>
      </c>
      <c r="V1" s="210" t="s">
        <v>13</v>
      </c>
      <c r="W1" s="210" t="s">
        <v>0</v>
      </c>
      <c r="X1" s="210" t="s">
        <v>11</v>
      </c>
      <c r="Y1" s="210" t="s">
        <v>10</v>
      </c>
      <c r="Z1" s="211" t="s">
        <v>14</v>
      </c>
      <c r="AA1" s="212" t="s">
        <v>15</v>
      </c>
      <c r="AB1" s="213" t="s">
        <v>8</v>
      </c>
      <c r="AC1" s="214" t="s">
        <v>9</v>
      </c>
      <c r="AD1" s="213" t="s">
        <v>234</v>
      </c>
      <c r="AE1" s="213" t="s">
        <v>56</v>
      </c>
      <c r="AF1" s="214" t="s">
        <v>57</v>
      </c>
      <c r="AG1" s="213" t="s">
        <v>58</v>
      </c>
      <c r="AH1" s="215" t="s">
        <v>77</v>
      </c>
      <c r="AI1" s="216" t="s">
        <v>204</v>
      </c>
      <c r="AJ1" s="216" t="s">
        <v>16</v>
      </c>
      <c r="AK1" s="210" t="s">
        <v>13</v>
      </c>
      <c r="AL1" s="215" t="s">
        <v>44</v>
      </c>
      <c r="AM1" s="216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12</v>
      </c>
      <c r="AV1" s="210" t="s">
        <v>0</v>
      </c>
      <c r="AW1" s="210" t="s">
        <v>11</v>
      </c>
      <c r="AX1" s="210" t="s">
        <v>10</v>
      </c>
      <c r="AY1" s="35"/>
    </row>
    <row r="2" spans="1:51" ht="18.75" x14ac:dyDescent="0.3">
      <c r="A2" s="36">
        <f>100-B2-C2-D2-E2-F2-G2-H2-I2-J2-K2-L2-M2-N2-O2-P2-Q2-R2-S2-T2-U2-V2-W2-X2-Y2</f>
        <v>94.328499999999991</v>
      </c>
      <c r="B2" s="37">
        <f>'OK OK'!C4</f>
        <v>0.89</v>
      </c>
      <c r="C2" s="37">
        <f>'OK OK'!D4</f>
        <v>1.43</v>
      </c>
      <c r="D2" s="37">
        <f>'OK OK'!E4</f>
        <v>0</v>
      </c>
      <c r="E2" s="37">
        <f>'OK OK'!F4</f>
        <v>0</v>
      </c>
      <c r="F2" s="37">
        <f>'OK OK'!G4</f>
        <v>0.2</v>
      </c>
      <c r="G2" s="37">
        <f>'OK OK'!H4</f>
        <v>5.0000000000000001E-3</v>
      </c>
      <c r="H2" s="37">
        <f>'OK OK'!I4</f>
        <v>1E-3</v>
      </c>
      <c r="I2" s="37">
        <f>'OK OK'!J4</f>
        <v>1E-3</v>
      </c>
      <c r="J2" s="37">
        <f>'OK OK'!K4</f>
        <v>1.5E-3</v>
      </c>
      <c r="K2" s="37">
        <f>'OK OK'!L4</f>
        <v>1.6</v>
      </c>
      <c r="L2" s="37">
        <f>'OK OK'!M4</f>
        <v>1E-3</v>
      </c>
      <c r="M2" s="37">
        <f>'OK OK'!N4</f>
        <v>1.3</v>
      </c>
      <c r="N2" s="37">
        <f>'OK OK'!O4</f>
        <v>0.19</v>
      </c>
      <c r="O2" s="37">
        <f>'OK OK'!P4</f>
        <v>0</v>
      </c>
      <c r="P2" s="37">
        <f>'OK OK'!Q4</f>
        <v>5.1999999999999998E-2</v>
      </c>
      <c r="Q2" s="37">
        <f>'OK OK'!R4</f>
        <v>0</v>
      </c>
      <c r="R2" s="37">
        <f>'OK OK'!S4</f>
        <v>0</v>
      </c>
      <c r="S2" s="37">
        <f>'OK OK'!T4</f>
        <v>0</v>
      </c>
      <c r="T2" s="37">
        <f>'OK OK'!U4</f>
        <v>0</v>
      </c>
      <c r="U2" s="37">
        <f>'OK OK'!V4</f>
        <v>0</v>
      </c>
      <c r="V2" s="37">
        <f>'OK OK'!W4</f>
        <v>0</v>
      </c>
      <c r="W2" s="37">
        <f>'OK OK'!X4</f>
        <v>0</v>
      </c>
      <c r="X2" s="37">
        <f>'OK OK'!Y4</f>
        <v>0</v>
      </c>
      <c r="Y2" s="37">
        <f>'OK OK'!Z4</f>
        <v>0</v>
      </c>
      <c r="Z2" s="219">
        <v>55.84</v>
      </c>
      <c r="AA2" s="219">
        <v>28.0855</v>
      </c>
      <c r="AB2" s="219">
        <v>58.693399999999997</v>
      </c>
      <c r="AC2" s="219">
        <v>63.545999999999999</v>
      </c>
      <c r="AD2" s="219">
        <v>65.38</v>
      </c>
      <c r="AE2" s="219">
        <v>12.01</v>
      </c>
      <c r="AF2" s="219">
        <v>30.973762000000001</v>
      </c>
      <c r="AG2" s="219">
        <v>32.064999999999998</v>
      </c>
      <c r="AH2" s="219">
        <v>14.0067</v>
      </c>
      <c r="AI2" s="219">
        <v>10.81</v>
      </c>
      <c r="AJ2" s="219">
        <v>54.938043999999998</v>
      </c>
      <c r="AK2" s="219">
        <v>24.305</v>
      </c>
      <c r="AL2" s="219">
        <v>51.996099999999998</v>
      </c>
      <c r="AM2" s="219">
        <v>95.95</v>
      </c>
      <c r="AN2" s="220">
        <v>47.866999999999997</v>
      </c>
      <c r="AO2" s="220">
        <v>50.941499999999998</v>
      </c>
      <c r="AP2" s="220">
        <v>92.906369999999995</v>
      </c>
      <c r="AQ2" s="220">
        <v>183.84</v>
      </c>
      <c r="AR2" s="220">
        <v>180.94788</v>
      </c>
      <c r="AS2" s="220">
        <v>91.224000000000004</v>
      </c>
      <c r="AT2" s="220">
        <v>58.933194999999998</v>
      </c>
      <c r="AU2" s="220">
        <v>26.981539999999999</v>
      </c>
      <c r="AV2" s="219">
        <v>121.76</v>
      </c>
      <c r="AW2" s="219">
        <v>207.2</v>
      </c>
      <c r="AX2" s="219">
        <v>118.71</v>
      </c>
      <c r="AY2" s="7"/>
    </row>
    <row r="3" spans="1:51" ht="18.75" x14ac:dyDescent="0.3">
      <c r="A3" s="36">
        <f>100*((((A2)/(Z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92.840162287943627</v>
      </c>
      <c r="B3" s="36">
        <f>100*((((B2)/(AA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1.741591189035695</v>
      </c>
      <c r="C3" s="36">
        <f>100*((((C2)/(AB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1.3390140731654472</v>
      </c>
      <c r="D3" s="36">
        <f>100*((((D2)/(AC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E3" s="36">
        <f>100*((((E2)/(AD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F3" s="36">
        <f>100*((((F2)/(AE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0.91521970155323784</v>
      </c>
      <c r="G3" s="36">
        <f>100*((((G2)/(AF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8.8718546811123438E-3</v>
      </c>
      <c r="H3" s="36">
        <f>100*((((H2)/(AG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1.7139854382745025E-3</v>
      </c>
      <c r="I3" s="36">
        <f>100*((((I2)/(AH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3.9237609914021089E-3</v>
      </c>
      <c r="J3" s="36">
        <f>100*((((J2)/(AI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7.6261253115085933E-3</v>
      </c>
      <c r="K3" s="36">
        <f>100*((((K2)/(AJ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1.6006086588236572</v>
      </c>
      <c r="L3" s="36">
        <f>100*((((L2)/(AK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2.2612196288118464E-3</v>
      </c>
      <c r="M3" s="36">
        <f>100*((((M2)/(AL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1.3740766327042508</v>
      </c>
      <c r="N3" s="36">
        <f>100*((((N2)/(AM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0.10882959025400381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P3" s="36">
        <f>100*((((P2)/(AO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5.6100920468972061E-2</v>
      </c>
      <c r="Q3" s="36">
        <f>100*((((Q2)/(AP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R3" s="36">
        <f>100*((((R2)/(AQ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S3" s="36">
        <f>100*((((S2)/(AR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T3" s="36">
        <f>100*((((T2)/(AS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U3" s="36">
        <f>100*((((U2)/(AT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V3" s="36">
        <f>100*((((V2)/(AU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W3" s="7">
        <f>100*((((W2)/(AV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X3" s="7">
        <f>100*((((X2)/(AW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Y3" s="7">
        <f>100*((((Y2)/(AX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51" ht="15.75" x14ac:dyDescent="0.25">
      <c r="A4" s="8" t="s">
        <v>18</v>
      </c>
      <c r="B4" s="9">
        <v>111</v>
      </c>
    </row>
    <row r="5" spans="1:51" ht="15.75" x14ac:dyDescent="0.25">
      <c r="A5" s="8" t="s">
        <v>19</v>
      </c>
      <c r="B5" s="9" t="s">
        <v>79</v>
      </c>
      <c r="C5" s="10"/>
    </row>
    <row r="6" spans="1:51" ht="15.75" x14ac:dyDescent="0.25">
      <c r="A6" s="8" t="s">
        <v>20</v>
      </c>
      <c r="B6" s="9">
        <f>'OK OK'!B13</f>
        <v>1000</v>
      </c>
      <c r="D6" s="8" t="s">
        <v>21</v>
      </c>
      <c r="E6" s="11" t="e">
        <f>IF(J33&gt;1,J33,"")</f>
        <v>#DIV/0!</v>
      </c>
      <c r="F6" s="12" t="s">
        <v>22</v>
      </c>
      <c r="G6" t="e">
        <f>E6/B6</f>
        <v>#DIV/0!</v>
      </c>
    </row>
    <row r="7" spans="1:51" ht="15.75" x14ac:dyDescent="0.25">
      <c r="A7" s="3"/>
      <c r="B7" t="s">
        <v>50</v>
      </c>
      <c r="C7" t="s">
        <v>51</v>
      </c>
    </row>
    <row r="8" spans="1:51" ht="18.75" x14ac:dyDescent="0.3">
      <c r="A8" s="3"/>
      <c r="B8" s="13" t="s">
        <v>23</v>
      </c>
      <c r="C8" s="13" t="s">
        <v>24</v>
      </c>
      <c r="D8" s="13" t="s">
        <v>25</v>
      </c>
      <c r="E8" s="19" t="s">
        <v>38</v>
      </c>
      <c r="F8" s="13" t="s">
        <v>25</v>
      </c>
      <c r="G8" s="10"/>
      <c r="H8" s="14" t="s">
        <v>26</v>
      </c>
      <c r="I8" s="14" t="s">
        <v>27</v>
      </c>
      <c r="J8" s="14" t="s">
        <v>28</v>
      </c>
      <c r="K8" s="14" t="s">
        <v>29</v>
      </c>
      <c r="Z8" s="57"/>
      <c r="AA8" s="58"/>
      <c r="AB8" s="59"/>
      <c r="AC8" s="60"/>
      <c r="AD8" s="59"/>
      <c r="AE8" s="59"/>
      <c r="AF8" s="60"/>
      <c r="AG8" s="59"/>
      <c r="AH8" s="61"/>
      <c r="AI8" s="62"/>
      <c r="AJ8" s="62"/>
      <c r="AK8" s="63"/>
      <c r="AL8" s="63"/>
      <c r="AM8" s="62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</row>
    <row r="9" spans="1:51" ht="18.75" x14ac:dyDescent="0.3">
      <c r="A9" s="66" t="s">
        <v>14</v>
      </c>
      <c r="B9" s="15">
        <f>TEOR.EQ_A_G_12!A3</f>
        <v>100</v>
      </c>
      <c r="C9" s="15">
        <f>TIG.EQ_At_G_1!A3</f>
        <v>94.332432355284283</v>
      </c>
      <c r="D9" s="16" t="e">
        <f>IF(K9&gt;0,K9,"")</f>
        <v>#DIV/0!</v>
      </c>
      <c r="E9" s="13" t="s">
        <v>56</v>
      </c>
      <c r="F9" s="20" t="e">
        <f t="shared" ref="F9:F12" si="0">D9</f>
        <v>#DIV/0!</v>
      </c>
      <c r="G9" s="90"/>
      <c r="H9" s="91" t="e">
        <f t="shared" ref="H9:H32" si="1">IF(B9&gt;0,$J$33*B9/100,"")</f>
        <v>#DIV/0!</v>
      </c>
      <c r="I9" s="91">
        <f>IF(C9&gt;0,$B$6*C9/100,"")</f>
        <v>943.32432355284288</v>
      </c>
      <c r="J9" s="91">
        <f>IF(B9&gt;0,I9/B9*100,"")</f>
        <v>943.324323552843</v>
      </c>
      <c r="K9" s="91" t="e">
        <f t="shared" ref="K9:K31" si="2">IF(H9&gt;H41,(H9-I9),"")</f>
        <v>#DIV/0!</v>
      </c>
      <c r="M9">
        <v>1</v>
      </c>
      <c r="O9" s="154" t="e">
        <f>D9</f>
        <v>#DIV/0!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V9" s="7"/>
      <c r="AW9" s="7"/>
      <c r="AX9" s="7"/>
    </row>
    <row r="10" spans="1:51" ht="18" x14ac:dyDescent="0.25">
      <c r="A10" s="66" t="s">
        <v>15</v>
      </c>
      <c r="B10" s="15">
        <f>TEOR.EQ_A_G_12!B3</f>
        <v>0</v>
      </c>
      <c r="C10" s="15">
        <f>TIG.EQ_At_G_1!B3</f>
        <v>0.89003710221410315</v>
      </c>
      <c r="D10" s="16" t="str">
        <f>IF(K10&gt;0,K10,"")</f>
        <v/>
      </c>
      <c r="E10" s="13" t="s">
        <v>16</v>
      </c>
      <c r="F10" s="20" t="e">
        <f>D10*5</f>
        <v>#VALUE!</v>
      </c>
      <c r="G10" s="90"/>
      <c r="H10" s="91" t="str">
        <f t="shared" si="1"/>
        <v/>
      </c>
      <c r="I10" s="91">
        <f t="shared" ref="I10:I16" si="3">IF(C10&gt;0,$B$6*C10/100,"")</f>
        <v>8.9003710221410319</v>
      </c>
      <c r="J10" s="91" t="str">
        <f>IF(B10&gt;0,I10/B10*100,"")</f>
        <v/>
      </c>
      <c r="K10" s="91" t="str">
        <f t="shared" si="2"/>
        <v/>
      </c>
      <c r="M10">
        <v>2</v>
      </c>
      <c r="O10" s="154" t="str">
        <f>D10</f>
        <v/>
      </c>
    </row>
    <row r="11" spans="1:51" ht="18" x14ac:dyDescent="0.25">
      <c r="A11" s="66" t="s">
        <v>8</v>
      </c>
      <c r="B11" s="15">
        <f>TEOR.EQ_A_G_12!C3</f>
        <v>0</v>
      </c>
      <c r="C11" s="15">
        <f>TIG.EQ_At_G_1!C3</f>
        <v>1.4300596136698511</v>
      </c>
      <c r="D11" s="16" t="str">
        <f t="shared" ref="D11:D32" si="4">IF(K11&gt;0,K11,"")</f>
        <v/>
      </c>
      <c r="E11" s="13" t="s">
        <v>13</v>
      </c>
      <c r="F11" s="20" t="str">
        <f t="shared" si="0"/>
        <v/>
      </c>
      <c r="G11" s="90"/>
      <c r="H11" s="91" t="str">
        <f t="shared" si="1"/>
        <v/>
      </c>
      <c r="I11" s="91">
        <f t="shared" si="3"/>
        <v>14.300596136698511</v>
      </c>
      <c r="J11" s="91" t="str">
        <f>IF(B11&gt;0,I11/B11*100,"")</f>
        <v/>
      </c>
      <c r="K11" s="91" t="str">
        <f t="shared" si="2"/>
        <v/>
      </c>
      <c r="M11">
        <v>3</v>
      </c>
      <c r="O11" s="154" t="str">
        <f>D11</f>
        <v/>
      </c>
    </row>
    <row r="12" spans="1:51" ht="18" x14ac:dyDescent="0.25">
      <c r="A12" s="66" t="s">
        <v>9</v>
      </c>
      <c r="B12" s="15">
        <f>TEOR.EQ_A_G_12!D3</f>
        <v>0</v>
      </c>
      <c r="C12" s="15">
        <f>TIG.EQ_At_G_1!D3</f>
        <v>0</v>
      </c>
      <c r="D12" s="16" t="str">
        <f t="shared" si="4"/>
        <v/>
      </c>
      <c r="E12" s="13" t="s">
        <v>15</v>
      </c>
      <c r="F12" s="20" t="str">
        <f t="shared" si="0"/>
        <v/>
      </c>
      <c r="G12" s="90"/>
      <c r="H12" s="91" t="str">
        <f t="shared" si="1"/>
        <v/>
      </c>
      <c r="I12" s="91" t="str">
        <f>IF(C12&gt;0,$B$6*C12/100,"")</f>
        <v/>
      </c>
      <c r="J12" s="91" t="str">
        <f>IF(B12&gt;0,I12/B12*100,"")</f>
        <v/>
      </c>
      <c r="K12" s="91" t="str">
        <f t="shared" si="2"/>
        <v/>
      </c>
      <c r="M12">
        <v>4</v>
      </c>
      <c r="O12" s="154" t="str">
        <f>D17</f>
        <v/>
      </c>
    </row>
    <row r="13" spans="1:51" ht="18" x14ac:dyDescent="0.25">
      <c r="A13" s="66" t="s">
        <v>234</v>
      </c>
      <c r="B13" s="15">
        <f>TEOR.EQ_A_G_12!E3</f>
        <v>0</v>
      </c>
      <c r="C13" s="15">
        <f>TIG.EQ_At_G_1!E3</f>
        <v>0</v>
      </c>
      <c r="D13" s="16" t="str">
        <f t="shared" si="4"/>
        <v/>
      </c>
      <c r="E13" s="13" t="s">
        <v>17</v>
      </c>
      <c r="F13" s="20" t="e">
        <f>D13*10</f>
        <v>#VALUE!</v>
      </c>
      <c r="G13" s="90"/>
      <c r="H13" s="91" t="str">
        <f t="shared" si="1"/>
        <v/>
      </c>
      <c r="I13" s="91" t="str">
        <f t="shared" si="3"/>
        <v/>
      </c>
      <c r="J13" s="91" t="str">
        <f>IF(B13&gt;0,I13/B13*100,"")</f>
        <v/>
      </c>
      <c r="K13" s="91" t="str">
        <f t="shared" si="2"/>
        <v/>
      </c>
      <c r="M13">
        <v>5</v>
      </c>
      <c r="O13" s="154" t="str">
        <f>D18</f>
        <v/>
      </c>
    </row>
    <row r="14" spans="1:51" ht="18" x14ac:dyDescent="0.25">
      <c r="A14" s="66" t="s">
        <v>56</v>
      </c>
      <c r="B14" s="15">
        <f>TEOR.EQ_A_G_12!F3</f>
        <v>0</v>
      </c>
      <c r="C14" s="15">
        <f>TIG.EQ_At_G_1!F3</f>
        <v>0.20533994550961771</v>
      </c>
      <c r="D14" s="16" t="str">
        <f t="shared" si="4"/>
        <v/>
      </c>
      <c r="E14" s="13" t="s">
        <v>45</v>
      </c>
      <c r="F14" s="20" t="e">
        <f>D14*10</f>
        <v>#VALUE!</v>
      </c>
      <c r="G14" s="90"/>
      <c r="H14" s="91" t="str">
        <f t="shared" si="1"/>
        <v/>
      </c>
      <c r="I14" s="91">
        <f t="shared" si="3"/>
        <v>2.0533994550961769</v>
      </c>
      <c r="J14" s="91" t="e">
        <f>IF(C14&gt;0.14,I14/B14*100,"")</f>
        <v>#DIV/0!</v>
      </c>
      <c r="K14" s="91" t="str">
        <f t="shared" si="2"/>
        <v/>
      </c>
      <c r="M14">
        <v>6</v>
      </c>
      <c r="O14" s="154" t="str">
        <f>D14</f>
        <v/>
      </c>
    </row>
    <row r="15" spans="1:51" ht="18" x14ac:dyDescent="0.25">
      <c r="A15" s="66" t="s">
        <v>57</v>
      </c>
      <c r="B15" s="15">
        <f>TEOR.EQ_A_G_12!G3</f>
        <v>0</v>
      </c>
      <c r="C15" s="15">
        <f>TIG.EQ_At_G_1!G3</f>
        <v>0</v>
      </c>
      <c r="D15" s="16" t="str">
        <f>IF(K15&gt;0,K15,"")</f>
        <v/>
      </c>
      <c r="E15" s="13" t="s">
        <v>14</v>
      </c>
      <c r="F15" s="20" t="e">
        <f>(F13-D13)+(F10-D10)+(F14-D14)</f>
        <v>#VALUE!</v>
      </c>
      <c r="G15" s="90"/>
      <c r="H15" s="91" t="str">
        <f t="shared" si="1"/>
        <v/>
      </c>
      <c r="I15" s="91" t="str">
        <f>IF(C15&gt;0,$B$6*C15/100,"")</f>
        <v/>
      </c>
      <c r="J15" s="91" t="str">
        <f>IF(B15&gt;0,I15/B15*100,"")</f>
        <v/>
      </c>
      <c r="K15" s="91" t="str">
        <f t="shared" si="2"/>
        <v/>
      </c>
      <c r="M15">
        <v>7</v>
      </c>
      <c r="O15" s="154"/>
    </row>
    <row r="16" spans="1:51" ht="18" x14ac:dyDescent="0.25">
      <c r="A16" s="66" t="s">
        <v>58</v>
      </c>
      <c r="B16" s="15">
        <f>TEOR.EQ_A_G_12!H3</f>
        <v>0</v>
      </c>
      <c r="C16" s="15">
        <f>TIG.EQ_At_G_1!H3</f>
        <v>0</v>
      </c>
      <c r="D16" s="16" t="str">
        <f t="shared" si="4"/>
        <v/>
      </c>
      <c r="E16" s="13"/>
      <c r="F16" s="21" t="e">
        <f>D16*10</f>
        <v>#VALUE!</v>
      </c>
      <c r="G16" s="90"/>
      <c r="H16" s="91" t="str">
        <f t="shared" si="1"/>
        <v/>
      </c>
      <c r="I16" s="91" t="str">
        <f t="shared" si="3"/>
        <v/>
      </c>
      <c r="J16" s="91" t="str">
        <f>IF(B16&gt;0,I16/B16*100,"")</f>
        <v/>
      </c>
      <c r="K16" s="91" t="str">
        <f t="shared" si="2"/>
        <v/>
      </c>
      <c r="M16">
        <v>8</v>
      </c>
      <c r="O16" s="154"/>
    </row>
    <row r="17" spans="1:15" ht="18" x14ac:dyDescent="0.25">
      <c r="A17" s="66" t="s">
        <v>77</v>
      </c>
      <c r="B17" s="15">
        <f>TEOR.EQ_A_G_12!I3</f>
        <v>0</v>
      </c>
      <c r="C17" s="15">
        <f>TIG.EQ_At_G_1!I3</f>
        <v>0</v>
      </c>
      <c r="D17" s="16" t="str">
        <f t="shared" si="4"/>
        <v/>
      </c>
      <c r="E17" s="13"/>
      <c r="F17" s="17" t="str">
        <f>D17</f>
        <v/>
      </c>
      <c r="G17" s="90"/>
      <c r="H17" s="91" t="str">
        <f t="shared" si="1"/>
        <v/>
      </c>
      <c r="I17" s="91" t="str">
        <f>IF(C17&gt;0,$B$6*C17/100,"")</f>
        <v/>
      </c>
      <c r="J17" s="91" t="str">
        <f>IF(B17&gt;0,I17/B17*100,"")</f>
        <v/>
      </c>
      <c r="K17" s="91" t="str">
        <f t="shared" si="2"/>
        <v/>
      </c>
      <c r="M17">
        <v>9</v>
      </c>
      <c r="O17" s="154"/>
    </row>
    <row r="18" spans="1:15" ht="18" x14ac:dyDescent="0.25">
      <c r="A18" s="66" t="s">
        <v>204</v>
      </c>
      <c r="B18" s="15">
        <f>TEOR.EQ_A_G_12!J3</f>
        <v>0</v>
      </c>
      <c r="C18" s="15">
        <f>TIG.EQ_At_G_1!J3</f>
        <v>0</v>
      </c>
      <c r="D18" s="92" t="str">
        <f t="shared" si="4"/>
        <v/>
      </c>
      <c r="H18" s="91" t="str">
        <f t="shared" si="1"/>
        <v/>
      </c>
      <c r="I18" s="91" t="str">
        <f t="shared" ref="I18:I32" si="5">IF(C18&gt;0,$B$6*C18/100,"")</f>
        <v/>
      </c>
      <c r="J18" s="91" t="str">
        <f t="shared" ref="J18:J32" si="6">IF(B18&gt;0,I18/B18*100,"")</f>
        <v/>
      </c>
      <c r="K18" s="91" t="str">
        <f>IF(H18&gt;H50,(H18-I18),"")</f>
        <v/>
      </c>
      <c r="M18">
        <v>10</v>
      </c>
      <c r="O18" s="154" t="str">
        <f>D18</f>
        <v/>
      </c>
    </row>
    <row r="19" spans="1:15" ht="18" x14ac:dyDescent="0.25">
      <c r="A19" s="66" t="s">
        <v>16</v>
      </c>
      <c r="B19" s="15">
        <f>TEOR.EQ_A_G_12!K3</f>
        <v>0</v>
      </c>
      <c r="C19" s="15">
        <f>TIG.EQ_At_G_1!K3</f>
        <v>1.6000667006096232</v>
      </c>
      <c r="D19" t="str">
        <f t="shared" si="4"/>
        <v/>
      </c>
      <c r="H19" s="91" t="str">
        <f t="shared" si="1"/>
        <v/>
      </c>
      <c r="I19" s="91">
        <f t="shared" si="5"/>
        <v>16.000667006096233</v>
      </c>
      <c r="J19" s="91" t="str">
        <f t="shared" si="6"/>
        <v/>
      </c>
      <c r="K19" s="91" t="str">
        <f t="shared" si="2"/>
        <v/>
      </c>
      <c r="M19">
        <v>11</v>
      </c>
      <c r="O19" s="154" t="str">
        <f>D19</f>
        <v/>
      </c>
    </row>
    <row r="20" spans="1:15" ht="18" x14ac:dyDescent="0.25">
      <c r="A20" s="66" t="s">
        <v>12</v>
      </c>
      <c r="B20" s="15">
        <f>TEOR.EQ_A_G_12!L3</f>
        <v>0</v>
      </c>
      <c r="C20" s="15">
        <f>TIG.EQ_At_G_1!L3</f>
        <v>0</v>
      </c>
      <c r="D20" t="str">
        <f t="shared" si="4"/>
        <v/>
      </c>
      <c r="H20" s="91" t="str">
        <f t="shared" si="1"/>
        <v/>
      </c>
      <c r="I20" s="91" t="str">
        <f t="shared" si="5"/>
        <v/>
      </c>
      <c r="J20" s="91" t="str">
        <f t="shared" si="6"/>
        <v/>
      </c>
      <c r="K20" s="91" t="str">
        <f t="shared" si="2"/>
        <v/>
      </c>
      <c r="M20">
        <v>12</v>
      </c>
      <c r="O20" s="154" t="str">
        <f>D20</f>
        <v/>
      </c>
    </row>
    <row r="21" spans="1:15" ht="18" x14ac:dyDescent="0.25">
      <c r="A21" s="66" t="s">
        <v>44</v>
      </c>
      <c r="B21" s="15">
        <f>TEOR.EQ_A_G_12!M3</f>
        <v>0</v>
      </c>
      <c r="C21" s="15">
        <f>TIG.EQ_At_G_1!M3</f>
        <v>1.3000541942453192</v>
      </c>
      <c r="D21" t="str">
        <f t="shared" si="4"/>
        <v/>
      </c>
      <c r="H21" s="91" t="str">
        <f t="shared" si="1"/>
        <v/>
      </c>
      <c r="I21" s="91">
        <f t="shared" si="5"/>
        <v>13.000541942453191</v>
      </c>
      <c r="J21" s="91" t="str">
        <f t="shared" si="6"/>
        <v/>
      </c>
      <c r="K21" s="91" t="str">
        <f t="shared" si="2"/>
        <v/>
      </c>
      <c r="M21">
        <v>13</v>
      </c>
      <c r="O21" s="154" t="str">
        <f>D21</f>
        <v/>
      </c>
    </row>
    <row r="22" spans="1:15" ht="18" x14ac:dyDescent="0.25">
      <c r="A22" s="66" t="s">
        <v>55</v>
      </c>
      <c r="B22" s="15">
        <f>TEOR.EQ_A_G_12!N3</f>
        <v>0</v>
      </c>
      <c r="C22" s="15">
        <f>TIG.EQ_At_G_1!N3</f>
        <v>0.19000792069739278</v>
      </c>
      <c r="D22" t="str">
        <f t="shared" si="4"/>
        <v/>
      </c>
      <c r="H22" s="91" t="str">
        <f t="shared" si="1"/>
        <v/>
      </c>
      <c r="I22" s="91">
        <f t="shared" si="5"/>
        <v>1.9000792069739278</v>
      </c>
      <c r="J22" s="91" t="str">
        <f t="shared" si="6"/>
        <v/>
      </c>
      <c r="K22" s="91" t="str">
        <f t="shared" si="2"/>
        <v/>
      </c>
      <c r="M22">
        <v>14</v>
      </c>
      <c r="O22" s="154"/>
    </row>
    <row r="23" spans="1:15" ht="18" x14ac:dyDescent="0.25">
      <c r="A23" s="66" t="s">
        <v>17</v>
      </c>
      <c r="B23" s="15">
        <f>TEOR.EQ_A_G_12!O3</f>
        <v>0</v>
      </c>
      <c r="C23" s="15">
        <f>TIG.EQ_At_G_1!O3</f>
        <v>0</v>
      </c>
      <c r="D23" t="str">
        <f t="shared" si="4"/>
        <v/>
      </c>
      <c r="H23" s="91" t="str">
        <f t="shared" si="1"/>
        <v/>
      </c>
      <c r="I23" s="91" t="str">
        <f t="shared" si="5"/>
        <v/>
      </c>
      <c r="J23" s="91" t="str">
        <f t="shared" si="6"/>
        <v/>
      </c>
      <c r="K23" s="91" t="str">
        <f>IF(H23&gt;H65,(H23-I23),"")</f>
        <v/>
      </c>
      <c r="M23">
        <v>15</v>
      </c>
    </row>
    <row r="24" spans="1:15" ht="18" x14ac:dyDescent="0.25">
      <c r="A24" s="66" t="s">
        <v>80</v>
      </c>
      <c r="B24" s="15">
        <f>TEOR.EQ_A_G_12!P3</f>
        <v>0</v>
      </c>
      <c r="C24" s="15">
        <f>TIG.EQ_At_G_1!P3</f>
        <v>5.2002167769812764E-2</v>
      </c>
      <c r="D24" t="str">
        <f t="shared" si="4"/>
        <v/>
      </c>
      <c r="E24" t="s">
        <v>90</v>
      </c>
      <c r="F24" s="3"/>
      <c r="G24" s="3"/>
      <c r="H24" s="91" t="str">
        <f t="shared" si="1"/>
        <v/>
      </c>
      <c r="I24" s="91">
        <f t="shared" si="5"/>
        <v>0.52002167769812768</v>
      </c>
      <c r="J24" s="91" t="str">
        <f t="shared" si="6"/>
        <v/>
      </c>
      <c r="K24" s="91" t="str">
        <f>IF(H24&gt;H66,(H24-I24),"")</f>
        <v/>
      </c>
      <c r="L24" s="3"/>
      <c r="M24">
        <v>16</v>
      </c>
    </row>
    <row r="25" spans="1:15" ht="18" x14ac:dyDescent="0.25">
      <c r="A25" s="66" t="s">
        <v>81</v>
      </c>
      <c r="B25" s="15">
        <f>TEOR.EQ_A_G_12!Q3</f>
        <v>0</v>
      </c>
      <c r="C25" s="15">
        <f>TIG.EQ_At_G_1!Q3</f>
        <v>0</v>
      </c>
      <c r="D25" t="str">
        <f t="shared" si="4"/>
        <v/>
      </c>
      <c r="F25" s="69"/>
      <c r="G25" s="69"/>
      <c r="H25" s="91" t="str">
        <f t="shared" si="1"/>
        <v/>
      </c>
      <c r="I25" s="91" t="str">
        <f t="shared" si="5"/>
        <v/>
      </c>
      <c r="J25" s="91" t="str">
        <f t="shared" si="6"/>
        <v/>
      </c>
      <c r="K25" s="91" t="str">
        <f t="shared" si="2"/>
        <v/>
      </c>
      <c r="L25" s="69"/>
      <c r="M25">
        <v>17</v>
      </c>
    </row>
    <row r="26" spans="1:15" ht="18" x14ac:dyDescent="0.25">
      <c r="A26" s="66" t="s">
        <v>82</v>
      </c>
      <c r="B26" s="15">
        <f>TEOR.EQ_A_G_12!R3</f>
        <v>0</v>
      </c>
      <c r="C26" s="15">
        <f>TIG.EQ_At_G_1!R3</f>
        <v>0</v>
      </c>
      <c r="D26" t="str">
        <f t="shared" si="4"/>
        <v/>
      </c>
      <c r="E26" t="s">
        <v>91</v>
      </c>
      <c r="F26" s="4"/>
      <c r="G26" s="4"/>
      <c r="H26" s="91" t="str">
        <f t="shared" si="1"/>
        <v/>
      </c>
      <c r="I26" s="91" t="str">
        <f t="shared" si="5"/>
        <v/>
      </c>
      <c r="J26" s="91" t="str">
        <f t="shared" si="6"/>
        <v/>
      </c>
      <c r="K26" s="91" t="str">
        <f t="shared" si="2"/>
        <v/>
      </c>
      <c r="L26" s="4"/>
      <c r="M26">
        <v>18</v>
      </c>
    </row>
    <row r="27" spans="1:15" ht="18" x14ac:dyDescent="0.25">
      <c r="A27" s="66" t="s">
        <v>83</v>
      </c>
      <c r="B27" s="15">
        <f>TEOR.EQ_A_G_12!S3</f>
        <v>0</v>
      </c>
      <c r="C27" s="15">
        <f>TIG.EQ_At_G_1!S3</f>
        <v>0</v>
      </c>
      <c r="D27" t="str">
        <f t="shared" si="4"/>
        <v/>
      </c>
      <c r="H27" s="91" t="str">
        <f t="shared" si="1"/>
        <v/>
      </c>
      <c r="I27" s="91" t="str">
        <f t="shared" si="5"/>
        <v/>
      </c>
      <c r="J27" s="91" t="str">
        <f t="shared" si="6"/>
        <v/>
      </c>
      <c r="K27" s="91" t="str">
        <f t="shared" si="2"/>
        <v/>
      </c>
      <c r="M27">
        <v>19</v>
      </c>
    </row>
    <row r="28" spans="1:15" ht="18" x14ac:dyDescent="0.25">
      <c r="A28" s="66" t="s">
        <v>45</v>
      </c>
      <c r="B28" s="15">
        <f>TEOR.EQ_A_G_12!T3</f>
        <v>0</v>
      </c>
      <c r="C28" s="15">
        <f>TIG.EQ_At_G_1!T3</f>
        <v>0</v>
      </c>
      <c r="D28" t="str">
        <f t="shared" si="4"/>
        <v/>
      </c>
      <c r="H28" s="91" t="str">
        <f t="shared" si="1"/>
        <v/>
      </c>
      <c r="I28" s="91" t="str">
        <f t="shared" si="5"/>
        <v/>
      </c>
      <c r="J28" s="91" t="str">
        <f t="shared" si="6"/>
        <v/>
      </c>
      <c r="K28" s="91" t="str">
        <f t="shared" si="2"/>
        <v/>
      </c>
      <c r="M28">
        <v>20</v>
      </c>
    </row>
    <row r="29" spans="1:15" ht="18" x14ac:dyDescent="0.25">
      <c r="A29" s="66" t="s">
        <v>43</v>
      </c>
      <c r="B29" s="15">
        <f>TEOR.EQ_A_G_12!U3</f>
        <v>0</v>
      </c>
      <c r="C29" s="15">
        <f>TIG.EQ_At_G_1!U3</f>
        <v>0</v>
      </c>
      <c r="D29" t="str">
        <f t="shared" si="4"/>
        <v/>
      </c>
      <c r="H29" s="91" t="str">
        <f t="shared" si="1"/>
        <v/>
      </c>
      <c r="I29" s="91" t="str">
        <f t="shared" si="5"/>
        <v/>
      </c>
      <c r="J29" s="91" t="str">
        <f t="shared" si="6"/>
        <v/>
      </c>
      <c r="K29" s="91" t="str">
        <f t="shared" si="2"/>
        <v/>
      </c>
      <c r="M29">
        <v>21</v>
      </c>
    </row>
    <row r="30" spans="1:15" ht="18" x14ac:dyDescent="0.25">
      <c r="A30" s="66" t="s">
        <v>13</v>
      </c>
      <c r="B30" s="15">
        <f>TEOR.EQ_A_G_12!V3</f>
        <v>0</v>
      </c>
      <c r="C30" s="15">
        <f>TIG.EQ_At_G_1!V3</f>
        <v>0</v>
      </c>
      <c r="D30" t="str">
        <f t="shared" si="4"/>
        <v/>
      </c>
      <c r="H30" s="91" t="str">
        <f t="shared" si="1"/>
        <v/>
      </c>
      <c r="I30" s="91" t="str">
        <f t="shared" si="5"/>
        <v/>
      </c>
      <c r="J30" s="91" t="str">
        <f t="shared" si="6"/>
        <v/>
      </c>
      <c r="K30" s="91" t="str">
        <f t="shared" si="2"/>
        <v/>
      </c>
      <c r="M30">
        <v>22</v>
      </c>
    </row>
    <row r="31" spans="1:15" ht="18" x14ac:dyDescent="0.25">
      <c r="A31" s="66" t="s">
        <v>0</v>
      </c>
      <c r="B31" s="15">
        <f>TEOR.EQ_A_G_12!W3</f>
        <v>0</v>
      </c>
      <c r="C31" s="15">
        <f>TIG.EQ_At_G_1!W3</f>
        <v>0</v>
      </c>
      <c r="D31" t="str">
        <f t="shared" si="4"/>
        <v/>
      </c>
      <c r="H31" s="91" t="str">
        <f t="shared" si="1"/>
        <v/>
      </c>
      <c r="I31" s="91" t="str">
        <f t="shared" si="5"/>
        <v/>
      </c>
      <c r="J31" s="91" t="str">
        <f t="shared" si="6"/>
        <v/>
      </c>
      <c r="K31" s="91" t="str">
        <f t="shared" si="2"/>
        <v/>
      </c>
      <c r="M31">
        <v>23</v>
      </c>
    </row>
    <row r="32" spans="1:15" ht="18" x14ac:dyDescent="0.25">
      <c r="A32" s="66" t="s">
        <v>11</v>
      </c>
      <c r="B32" s="15">
        <f>TEOR.EQ_A_G_12!X3</f>
        <v>0</v>
      </c>
      <c r="C32" s="15">
        <f>TIG.EQ_At_G_1!X3</f>
        <v>0</v>
      </c>
      <c r="D32" t="str">
        <f t="shared" si="4"/>
        <v/>
      </c>
      <c r="H32" s="91" t="str">
        <f t="shared" si="1"/>
        <v/>
      </c>
      <c r="I32" s="91" t="str">
        <f t="shared" si="5"/>
        <v/>
      </c>
      <c r="J32" s="91" t="str">
        <f t="shared" si="6"/>
        <v/>
      </c>
      <c r="K32" s="91" t="str">
        <f>IF(H32&gt;H64,(H32-I32),"")</f>
        <v/>
      </c>
      <c r="M32">
        <v>24</v>
      </c>
    </row>
    <row r="33" spans="1:26" ht="18" x14ac:dyDescent="0.25">
      <c r="A33" s="66" t="s">
        <v>10</v>
      </c>
      <c r="B33" s="15">
        <f>TEOR.EQ_A_G_12!Y3</f>
        <v>0</v>
      </c>
      <c r="C33" s="15">
        <f>TIG.EQ_At_G_1!Y3</f>
        <v>0</v>
      </c>
      <c r="D33" t="e">
        <f>IF(K34&gt;0,K34,"")</f>
        <v>#DIV/0!</v>
      </c>
      <c r="E33" s="17" t="e">
        <f>D15-F33</f>
        <v>#VALUE!</v>
      </c>
      <c r="F33" s="17" t="e">
        <f>(F14-D14)+(F13-D13)</f>
        <v>#VALUE!</v>
      </c>
      <c r="G33" s="90" t="s">
        <v>30</v>
      </c>
      <c r="H33" s="91" t="e">
        <f>SUM(H9:H32)</f>
        <v>#DIV/0!</v>
      </c>
      <c r="I33" s="91">
        <f>SUM(I9:I32)</f>
        <v>1000</v>
      </c>
      <c r="J33" s="91" t="e">
        <f>MAX(J9:J32)</f>
        <v>#DIV/0!</v>
      </c>
      <c r="K33" s="91" t="e">
        <f>IF(H33&gt;H65,(H33-I33),"")</f>
        <v>#DIV/0!</v>
      </c>
      <c r="M33">
        <v>25</v>
      </c>
    </row>
    <row r="34" spans="1:26" x14ac:dyDescent="0.25">
      <c r="B34" s="14">
        <f>SUM(B9:B33)</f>
        <v>100</v>
      </c>
      <c r="C34" s="14">
        <f>SUM(C9:C32)</f>
        <v>100.00000000000001</v>
      </c>
      <c r="D34" s="18" t="e">
        <f>SUM(D10:D33)</f>
        <v>#DIV/0!</v>
      </c>
      <c r="G34" s="337" t="s">
        <v>31</v>
      </c>
      <c r="H34" s="338"/>
      <c r="I34" s="91"/>
      <c r="J34" s="91" t="e">
        <f>IF(B6&gt;0,B6+D33,"")</f>
        <v>#DIV/0!</v>
      </c>
      <c r="K34" s="91" t="e">
        <f>SUM(K9:K32)</f>
        <v>#DIV/0!</v>
      </c>
    </row>
    <row r="35" spans="1:26" ht="18" x14ac:dyDescent="0.25">
      <c r="A35">
        <f>'OK OK'!A3</f>
        <v>0</v>
      </c>
      <c r="B35" s="210" t="s">
        <v>14</v>
      </c>
      <c r="C35" s="210" t="s">
        <v>15</v>
      </c>
      <c r="D35" s="210" t="s">
        <v>8</v>
      </c>
      <c r="E35" s="210" t="s">
        <v>9</v>
      </c>
      <c r="F35" s="210" t="s">
        <v>234</v>
      </c>
      <c r="G35" s="210" t="s">
        <v>56</v>
      </c>
      <c r="H35" s="210" t="s">
        <v>57</v>
      </c>
      <c r="I35" s="210" t="s">
        <v>58</v>
      </c>
      <c r="J35" s="210" t="s">
        <v>77</v>
      </c>
      <c r="K35" s="210" t="s">
        <v>204</v>
      </c>
      <c r="L35" s="210" t="s">
        <v>16</v>
      </c>
      <c r="M35" s="210" t="s">
        <v>12</v>
      </c>
      <c r="N35" s="210" t="s">
        <v>44</v>
      </c>
      <c r="O35" s="210" t="s">
        <v>55</v>
      </c>
      <c r="P35" s="210" t="s">
        <v>17</v>
      </c>
      <c r="Q35" s="210" t="s">
        <v>80</v>
      </c>
      <c r="R35" s="210" t="s">
        <v>81</v>
      </c>
      <c r="S35" s="210" t="s">
        <v>82</v>
      </c>
      <c r="T35" s="210" t="s">
        <v>83</v>
      </c>
      <c r="U35" s="210" t="s">
        <v>45</v>
      </c>
      <c r="V35" s="210" t="s">
        <v>43</v>
      </c>
      <c r="W35" s="210" t="s">
        <v>13</v>
      </c>
      <c r="X35" s="210" t="s">
        <v>0</v>
      </c>
      <c r="Y35" s="210" t="s">
        <v>11</v>
      </c>
      <c r="Z35" s="210" t="s">
        <v>10</v>
      </c>
    </row>
    <row r="36" spans="1:26" x14ac:dyDescent="0.25">
      <c r="A36" s="124" t="str">
        <f>'OK OK'!A4</f>
        <v>Composition in the crucible</v>
      </c>
      <c r="B36">
        <f>'OK OK'!B4</f>
        <v>94.328499999999991</v>
      </c>
      <c r="C36">
        <f>'OK OK'!C4</f>
        <v>0.89</v>
      </c>
      <c r="D36">
        <f>'OK OK'!D4</f>
        <v>1.43</v>
      </c>
      <c r="E36">
        <f>'OK OK'!E4</f>
        <v>0</v>
      </c>
      <c r="F36">
        <f>'OK OK'!F4</f>
        <v>0</v>
      </c>
      <c r="G36">
        <f>'OK OK'!G4</f>
        <v>0.2</v>
      </c>
      <c r="H36">
        <f>'OK OK'!H4</f>
        <v>5.0000000000000001E-3</v>
      </c>
      <c r="I36">
        <f>'OK OK'!I4</f>
        <v>1E-3</v>
      </c>
      <c r="J36">
        <f>'OK OK'!J4</f>
        <v>1E-3</v>
      </c>
      <c r="K36">
        <f>'OK OK'!K4</f>
        <v>1.5E-3</v>
      </c>
      <c r="L36">
        <f>'OK OK'!L4</f>
        <v>1.6</v>
      </c>
      <c r="M36">
        <f>'OK OK'!M4</f>
        <v>1E-3</v>
      </c>
      <c r="N36">
        <f>'OK OK'!N4</f>
        <v>1.3</v>
      </c>
      <c r="O36">
        <f>'OK OK'!O4</f>
        <v>0.19</v>
      </c>
      <c r="P36">
        <f>'OK OK'!P4</f>
        <v>0</v>
      </c>
      <c r="Q36">
        <f>'OK OK'!Q4</f>
        <v>5.1999999999999998E-2</v>
      </c>
      <c r="R36">
        <f>'OK OK'!R4</f>
        <v>0</v>
      </c>
      <c r="S36">
        <f>'OK OK'!S4</f>
        <v>0</v>
      </c>
      <c r="T36">
        <f>'OK OK'!T4</f>
        <v>0</v>
      </c>
      <c r="U36">
        <f>'OK OK'!U4</f>
        <v>0</v>
      </c>
      <c r="V36">
        <f>'OK OK'!V4</f>
        <v>0</v>
      </c>
      <c r="W36">
        <f>'OK OK'!W4</f>
        <v>0</v>
      </c>
      <c r="X36">
        <f>'OK OK'!X4</f>
        <v>0</v>
      </c>
      <c r="Y36">
        <f>'OK OK'!Y4</f>
        <v>0</v>
      </c>
      <c r="Z36">
        <f>'OK OK'!Z4</f>
        <v>0</v>
      </c>
    </row>
    <row r="37" spans="1:26" x14ac:dyDescent="0.25">
      <c r="A37" s="96" t="s">
        <v>165</v>
      </c>
      <c r="B37" t="e">
        <f>100-C37-D37-E37-F37-G37-H37-I37-J37-K37-L37-M37-N37-O37-P37-Q37-R37-S37-T37-U37-V37-W37-X37-Y37-Z37</f>
        <v>#DIV/0!</v>
      </c>
      <c r="C37" t="e">
        <f>C36/G6</f>
        <v>#DIV/0!</v>
      </c>
      <c r="D37" t="e">
        <f>D36/G6</f>
        <v>#DIV/0!</v>
      </c>
      <c r="E37" t="e">
        <f>E36/G6</f>
        <v>#DIV/0!</v>
      </c>
      <c r="F37" t="e">
        <f>F36/G6</f>
        <v>#DIV/0!</v>
      </c>
      <c r="G37" t="e">
        <f>G36/G6</f>
        <v>#DIV/0!</v>
      </c>
      <c r="H37" t="e">
        <f>H36/G6</f>
        <v>#DIV/0!</v>
      </c>
      <c r="I37" t="e">
        <f>I36/G6</f>
        <v>#DIV/0!</v>
      </c>
      <c r="J37" t="e">
        <f>J36/G6</f>
        <v>#DIV/0!</v>
      </c>
      <c r="K37" t="e">
        <f>K36/G6</f>
        <v>#DIV/0!</v>
      </c>
      <c r="L37" t="e">
        <f>L36/G6</f>
        <v>#DIV/0!</v>
      </c>
      <c r="M37" t="e">
        <f>M36/G6</f>
        <v>#DIV/0!</v>
      </c>
      <c r="N37" t="e">
        <f>N36/G6</f>
        <v>#DIV/0!</v>
      </c>
      <c r="O37" t="e">
        <f>O36/G6</f>
        <v>#DIV/0!</v>
      </c>
      <c r="P37" t="e">
        <f>P36/G6</f>
        <v>#DIV/0!</v>
      </c>
      <c r="Q37" t="e">
        <f>Q36/G6</f>
        <v>#DIV/0!</v>
      </c>
      <c r="R37" t="e">
        <f>R36/G6</f>
        <v>#DIV/0!</v>
      </c>
      <c r="S37" t="e">
        <f>S36/G6</f>
        <v>#DIV/0!</v>
      </c>
      <c r="T37" t="e">
        <f>T36/G6</f>
        <v>#DIV/0!</v>
      </c>
      <c r="U37" t="e">
        <f>U36/G6</f>
        <v>#DIV/0!</v>
      </c>
      <c r="V37" t="e">
        <f>V36/G6</f>
        <v>#DIV/0!</v>
      </c>
      <c r="W37" t="e">
        <f>W36/G6</f>
        <v>#DIV/0!</v>
      </c>
      <c r="X37" t="e">
        <f>X36/G6</f>
        <v>#DIV/0!</v>
      </c>
      <c r="Y37" t="e">
        <f>Y36/G6</f>
        <v>#DIV/0!</v>
      </c>
      <c r="Z37" t="e">
        <f>Z36/G6</f>
        <v>#DIV/0!</v>
      </c>
    </row>
    <row r="54" spans="1:51" ht="18.75" x14ac:dyDescent="0.3">
      <c r="B54" s="210" t="s">
        <v>14</v>
      </c>
      <c r="C54" s="210" t="s">
        <v>15</v>
      </c>
      <c r="D54" s="210" t="s">
        <v>8</v>
      </c>
      <c r="E54" s="210" t="s">
        <v>9</v>
      </c>
      <c r="F54" s="210" t="s">
        <v>234</v>
      </c>
      <c r="G54" s="210" t="s">
        <v>56</v>
      </c>
      <c r="H54" s="210" t="s">
        <v>57</v>
      </c>
      <c r="I54" s="210" t="s">
        <v>58</v>
      </c>
      <c r="J54" s="210" t="s">
        <v>77</v>
      </c>
      <c r="K54" s="210" t="s">
        <v>204</v>
      </c>
      <c r="L54" s="210" t="s">
        <v>16</v>
      </c>
      <c r="M54" s="210" t="s">
        <v>12</v>
      </c>
      <c r="N54" s="210" t="s">
        <v>44</v>
      </c>
      <c r="O54" s="210" t="s">
        <v>55</v>
      </c>
      <c r="P54" s="210" t="s">
        <v>17</v>
      </c>
      <c r="Q54" s="210" t="s">
        <v>80</v>
      </c>
      <c r="R54" s="210" t="s">
        <v>81</v>
      </c>
      <c r="S54" s="210" t="s">
        <v>82</v>
      </c>
      <c r="T54" s="210" t="s">
        <v>83</v>
      </c>
      <c r="U54" s="210" t="s">
        <v>45</v>
      </c>
      <c r="V54" s="210" t="s">
        <v>43</v>
      </c>
      <c r="W54" s="210" t="s">
        <v>13</v>
      </c>
      <c r="X54" s="210" t="s">
        <v>0</v>
      </c>
      <c r="Y54" s="210" t="s">
        <v>11</v>
      </c>
      <c r="Z54" s="210" t="s">
        <v>10</v>
      </c>
      <c r="AA54" s="211" t="s">
        <v>14</v>
      </c>
      <c r="AB54" s="212" t="s">
        <v>15</v>
      </c>
      <c r="AC54" s="213" t="s">
        <v>8</v>
      </c>
      <c r="AD54" s="214" t="s">
        <v>9</v>
      </c>
      <c r="AE54" s="213" t="s">
        <v>234</v>
      </c>
      <c r="AF54" s="213" t="s">
        <v>56</v>
      </c>
      <c r="AG54" s="214" t="s">
        <v>57</v>
      </c>
      <c r="AH54" s="213" t="s">
        <v>58</v>
      </c>
      <c r="AI54" s="215" t="s">
        <v>77</v>
      </c>
      <c r="AJ54" s="216" t="s">
        <v>204</v>
      </c>
      <c r="AK54" s="216" t="s">
        <v>16</v>
      </c>
      <c r="AL54" s="210" t="s">
        <v>13</v>
      </c>
      <c r="AM54" s="215" t="s">
        <v>44</v>
      </c>
      <c r="AN54" s="216" t="s">
        <v>55</v>
      </c>
      <c r="AO54" s="210" t="s">
        <v>17</v>
      </c>
      <c r="AP54" s="210" t="s">
        <v>80</v>
      </c>
      <c r="AQ54" s="210" t="s">
        <v>81</v>
      </c>
      <c r="AR54" s="210" t="s">
        <v>82</v>
      </c>
      <c r="AS54" s="210" t="s">
        <v>83</v>
      </c>
      <c r="AT54" s="210" t="s">
        <v>45</v>
      </c>
      <c r="AU54" s="210" t="s">
        <v>43</v>
      </c>
      <c r="AV54" s="210" t="s">
        <v>12</v>
      </c>
      <c r="AW54" s="210" t="s">
        <v>0</v>
      </c>
      <c r="AX54" s="210" t="s">
        <v>11</v>
      </c>
      <c r="AY54" s="210" t="s">
        <v>10</v>
      </c>
    </row>
    <row r="55" spans="1:51" ht="18.75" x14ac:dyDescent="0.3">
      <c r="B55" s="36" t="e">
        <f>100-C55-D55-E55-F55-G55-H55-I55-J55-K55-L55-M55-N55-O55-P55-Q55-R55-S55-T55-U55-V55-W55-X55-Y55-Z55</f>
        <v>#DIV/0!</v>
      </c>
      <c r="C55" s="37" t="e">
        <f>C37</f>
        <v>#DIV/0!</v>
      </c>
      <c r="D55" s="37" t="e">
        <f t="shared" ref="D55:Z55" si="7">D37</f>
        <v>#DIV/0!</v>
      </c>
      <c r="E55" s="37" t="e">
        <f t="shared" si="7"/>
        <v>#DIV/0!</v>
      </c>
      <c r="F55" s="37" t="e">
        <f t="shared" si="7"/>
        <v>#DIV/0!</v>
      </c>
      <c r="G55" s="37" t="e">
        <f t="shared" si="7"/>
        <v>#DIV/0!</v>
      </c>
      <c r="H55" s="37" t="e">
        <f t="shared" si="7"/>
        <v>#DIV/0!</v>
      </c>
      <c r="I55" s="37" t="e">
        <f t="shared" si="7"/>
        <v>#DIV/0!</v>
      </c>
      <c r="J55" s="37" t="e">
        <f t="shared" si="7"/>
        <v>#DIV/0!</v>
      </c>
      <c r="K55" s="37" t="e">
        <f t="shared" si="7"/>
        <v>#DIV/0!</v>
      </c>
      <c r="L55" s="37" t="e">
        <f t="shared" si="7"/>
        <v>#DIV/0!</v>
      </c>
      <c r="M55" s="37" t="e">
        <f t="shared" si="7"/>
        <v>#DIV/0!</v>
      </c>
      <c r="N55" s="37" t="e">
        <f t="shared" si="7"/>
        <v>#DIV/0!</v>
      </c>
      <c r="O55" s="37" t="e">
        <f t="shared" si="7"/>
        <v>#DIV/0!</v>
      </c>
      <c r="P55" s="37" t="e">
        <f t="shared" si="7"/>
        <v>#DIV/0!</v>
      </c>
      <c r="Q55" s="37" t="e">
        <f t="shared" si="7"/>
        <v>#DIV/0!</v>
      </c>
      <c r="R55" s="37" t="e">
        <f t="shared" si="7"/>
        <v>#DIV/0!</v>
      </c>
      <c r="S55" s="37" t="e">
        <f t="shared" si="7"/>
        <v>#DIV/0!</v>
      </c>
      <c r="T55" s="37" t="e">
        <f t="shared" si="7"/>
        <v>#DIV/0!</v>
      </c>
      <c r="U55" s="37" t="e">
        <f t="shared" si="7"/>
        <v>#DIV/0!</v>
      </c>
      <c r="V55" s="37" t="e">
        <f t="shared" si="7"/>
        <v>#DIV/0!</v>
      </c>
      <c r="W55" s="37" t="e">
        <f t="shared" si="7"/>
        <v>#DIV/0!</v>
      </c>
      <c r="X55" s="37" t="e">
        <f t="shared" si="7"/>
        <v>#DIV/0!</v>
      </c>
      <c r="Y55" s="37" t="e">
        <f t="shared" si="7"/>
        <v>#DIV/0!</v>
      </c>
      <c r="Z55" s="37" t="e">
        <f t="shared" si="7"/>
        <v>#DIV/0!</v>
      </c>
      <c r="AA55" s="219">
        <v>55.84</v>
      </c>
      <c r="AB55" s="219">
        <v>28.0855</v>
      </c>
      <c r="AC55" s="219">
        <v>58.693399999999997</v>
      </c>
      <c r="AD55" s="219">
        <v>63.545999999999999</v>
      </c>
      <c r="AE55" s="219">
        <v>65.38</v>
      </c>
      <c r="AF55" s="219">
        <v>12.01</v>
      </c>
      <c r="AG55" s="219">
        <v>30.973762000000001</v>
      </c>
      <c r="AH55" s="219">
        <v>32.064999999999998</v>
      </c>
      <c r="AI55" s="219">
        <v>14.0067</v>
      </c>
      <c r="AJ55" s="219">
        <v>10.81</v>
      </c>
      <c r="AK55" s="219">
        <v>54.938043999999998</v>
      </c>
      <c r="AL55" s="219">
        <v>24.305</v>
      </c>
      <c r="AM55" s="219">
        <v>51.996099999999998</v>
      </c>
      <c r="AN55" s="219">
        <v>95.95</v>
      </c>
      <c r="AO55" s="220">
        <v>47.866999999999997</v>
      </c>
      <c r="AP55" s="220">
        <v>50.941499999999998</v>
      </c>
      <c r="AQ55" s="220">
        <v>92.906369999999995</v>
      </c>
      <c r="AR55" s="220">
        <v>183.84</v>
      </c>
      <c r="AS55" s="220">
        <v>180.94788</v>
      </c>
      <c r="AT55" s="220">
        <v>91.224000000000004</v>
      </c>
      <c r="AU55" s="220">
        <v>58.933194999999998</v>
      </c>
      <c r="AV55" s="220">
        <v>26.981539999999999</v>
      </c>
      <c r="AW55" s="219">
        <v>121.76</v>
      </c>
      <c r="AX55" s="219">
        <v>207.2</v>
      </c>
      <c r="AY55" s="219">
        <v>118.71</v>
      </c>
    </row>
    <row r="56" spans="1:51" ht="18.75" x14ac:dyDescent="0.3">
      <c r="A56" s="96" t="s">
        <v>166</v>
      </c>
      <c r="B56" s="36" t="e">
        <f>100*((((B55)/(AA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C56" s="36" t="e">
        <f>100*((((C55)/(AB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D56" s="36" t="e">
        <f>100*((((D55)/(AC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E56" s="36" t="e">
        <f>100*((((E55)/(AD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F56" s="36" t="e">
        <f>100*((((F55)/(AE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G56" s="36" t="e">
        <f>100*((((G55)/(AF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H56" s="36" t="e">
        <f>100*((((H55)/(AG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I56" s="36" t="e">
        <f>100*((((I55)/(AH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J56" s="36" t="e">
        <f>100*((((J55)/(AI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K56" s="36" t="e">
        <f>100*((((K55)/(AJ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L56" s="36" t="e">
        <f>100*((((L55)/(AK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M56" s="36" t="e">
        <f>100*((((M55)/(AL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N56" s="36" t="e">
        <f>100*((((N55)/(AM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O56" s="36" t="e">
        <f>100*((((O55)/(AN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P56" s="36" t="e">
        <f>100*((((P55)/(AO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Q56" s="36" t="e">
        <f>100*((((Q55)/(AP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R56" s="36" t="e">
        <f>100*((((R55)/(AQ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S56" s="36" t="e">
        <f>100*((((S55)/(AR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T56" s="36" t="e">
        <f>100*((((T55)/(AS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U56" s="36" t="e">
        <f>100*((((U55)/(AT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V56" s="36" t="e">
        <f>100*((((V55)/(AU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W56" s="36" t="e">
        <f>100*((((W55)/(AV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X56" s="7" t="e">
        <f>100*((((X55)/(AW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Y56" s="7" t="e">
        <f>100*((((Y55)/(AX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Z56" s="7" t="e">
        <f>100*((((Z55)/(AY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</sheetData>
  <mergeCells count="1">
    <mergeCell ref="G34:H34"/>
  </mergeCells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BD18-924D-4928-8AA9-BC332CAEB25B}">
  <dimension ref="A1:AY56"/>
  <sheetViews>
    <sheetView topLeftCell="A22" zoomScale="87" zoomScaleNormal="87" workbookViewId="0">
      <selection activeCell="AA54" sqref="AA54:AY55"/>
    </sheetView>
  </sheetViews>
  <sheetFormatPr baseColWidth="10" defaultRowHeight="15" x14ac:dyDescent="0.25"/>
  <cols>
    <col min="1" max="1" width="15.85546875" customWidth="1"/>
    <col min="4" max="4" width="13.5703125" customWidth="1"/>
    <col min="5" max="5" width="12.5703125" customWidth="1"/>
    <col min="6" max="6" width="13.5703125" customWidth="1"/>
  </cols>
  <sheetData>
    <row r="1" spans="1:51" ht="18.75" x14ac:dyDescent="0.3">
      <c r="A1" s="210" t="s">
        <v>14</v>
      </c>
      <c r="B1" s="210" t="s">
        <v>15</v>
      </c>
      <c r="C1" s="210" t="s">
        <v>8</v>
      </c>
      <c r="D1" s="210" t="s">
        <v>9</v>
      </c>
      <c r="E1" s="210" t="s">
        <v>234</v>
      </c>
      <c r="F1" s="210" t="s">
        <v>56</v>
      </c>
      <c r="G1" s="210" t="s">
        <v>57</v>
      </c>
      <c r="H1" s="210" t="s">
        <v>58</v>
      </c>
      <c r="I1" s="210" t="s">
        <v>77</v>
      </c>
      <c r="J1" s="210" t="s">
        <v>204</v>
      </c>
      <c r="K1" s="210" t="s">
        <v>16</v>
      </c>
      <c r="L1" s="210" t="s">
        <v>12</v>
      </c>
      <c r="M1" s="210" t="s">
        <v>44</v>
      </c>
      <c r="N1" s="210" t="s">
        <v>55</v>
      </c>
      <c r="O1" s="210" t="s">
        <v>17</v>
      </c>
      <c r="P1" s="210" t="s">
        <v>80</v>
      </c>
      <c r="Q1" s="210" t="s">
        <v>81</v>
      </c>
      <c r="R1" s="210" t="s">
        <v>82</v>
      </c>
      <c r="S1" s="210" t="s">
        <v>83</v>
      </c>
      <c r="T1" s="210" t="s">
        <v>45</v>
      </c>
      <c r="U1" s="210" t="s">
        <v>43</v>
      </c>
      <c r="V1" s="210" t="s">
        <v>13</v>
      </c>
      <c r="W1" s="210" t="s">
        <v>0</v>
      </c>
      <c r="X1" s="210" t="s">
        <v>11</v>
      </c>
      <c r="Y1" s="210" t="s">
        <v>10</v>
      </c>
      <c r="Z1" s="211" t="s">
        <v>14</v>
      </c>
      <c r="AA1" s="212" t="s">
        <v>15</v>
      </c>
      <c r="AB1" s="213" t="s">
        <v>8</v>
      </c>
      <c r="AC1" s="214" t="s">
        <v>9</v>
      </c>
      <c r="AD1" s="213" t="s">
        <v>234</v>
      </c>
      <c r="AE1" s="213" t="s">
        <v>56</v>
      </c>
      <c r="AF1" s="214" t="s">
        <v>57</v>
      </c>
      <c r="AG1" s="213" t="s">
        <v>58</v>
      </c>
      <c r="AH1" s="215" t="s">
        <v>77</v>
      </c>
      <c r="AI1" s="216" t="s">
        <v>204</v>
      </c>
      <c r="AJ1" s="216" t="s">
        <v>16</v>
      </c>
      <c r="AK1" s="210" t="s">
        <v>13</v>
      </c>
      <c r="AL1" s="215" t="s">
        <v>44</v>
      </c>
      <c r="AM1" s="216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12</v>
      </c>
      <c r="AV1" s="210" t="s">
        <v>0</v>
      </c>
      <c r="AW1" s="210" t="s">
        <v>11</v>
      </c>
      <c r="AX1" s="210" t="s">
        <v>10</v>
      </c>
      <c r="AY1" s="35"/>
    </row>
    <row r="2" spans="1:51" ht="18.75" x14ac:dyDescent="0.3">
      <c r="A2" s="36">
        <f>100-B2-C2-D2-E2-F2-G2-H2-I2-J2-K2-L2-M2-N2-O2-P2-Q2-R2-S2-T2-U2-V2-W2-X2-Y2</f>
        <v>94.328499999999991</v>
      </c>
      <c r="B2" s="37">
        <f>'OK OK'!C4</f>
        <v>0.89</v>
      </c>
      <c r="C2" s="37">
        <f>'OK OK'!D4</f>
        <v>1.43</v>
      </c>
      <c r="D2" s="37">
        <f>'OK OK'!E4</f>
        <v>0</v>
      </c>
      <c r="E2" s="37">
        <f>'OK OK'!F4</f>
        <v>0</v>
      </c>
      <c r="F2" s="37">
        <f>'OK OK'!G4</f>
        <v>0.2</v>
      </c>
      <c r="G2" s="37">
        <f>'OK OK'!H4</f>
        <v>5.0000000000000001E-3</v>
      </c>
      <c r="H2" s="37">
        <f>'OK OK'!I4</f>
        <v>1E-3</v>
      </c>
      <c r="I2" s="37">
        <f>'OK OK'!J4</f>
        <v>1E-3</v>
      </c>
      <c r="J2" s="37">
        <f>'OK OK'!K4</f>
        <v>1.5E-3</v>
      </c>
      <c r="K2" s="37">
        <f>'OK OK'!L4</f>
        <v>1.6</v>
      </c>
      <c r="L2" s="37">
        <f>'OK OK'!M4</f>
        <v>1E-3</v>
      </c>
      <c r="M2" s="37">
        <f>'OK OK'!N4</f>
        <v>1.3</v>
      </c>
      <c r="N2" s="37">
        <f>'OK OK'!O4</f>
        <v>0.19</v>
      </c>
      <c r="O2" s="37">
        <f>'OK OK'!P4</f>
        <v>0</v>
      </c>
      <c r="P2" s="37">
        <f>'OK OK'!Q4</f>
        <v>5.1999999999999998E-2</v>
      </c>
      <c r="Q2" s="37">
        <f>'OK OK'!R4</f>
        <v>0</v>
      </c>
      <c r="R2" s="37">
        <f>'OK OK'!S4</f>
        <v>0</v>
      </c>
      <c r="S2" s="37">
        <f>'OK OK'!T4</f>
        <v>0</v>
      </c>
      <c r="T2" s="37">
        <f>'OK OK'!U4</f>
        <v>0</v>
      </c>
      <c r="U2" s="37">
        <f>'OK OK'!V4</f>
        <v>0</v>
      </c>
      <c r="V2" s="37">
        <f>'OK OK'!W4</f>
        <v>0</v>
      </c>
      <c r="W2" s="37">
        <f>'OK OK'!X4</f>
        <v>0</v>
      </c>
      <c r="X2" s="37">
        <f>'OK OK'!Y4</f>
        <v>0</v>
      </c>
      <c r="Y2" s="37">
        <f>'OK OK'!Z4</f>
        <v>0</v>
      </c>
      <c r="Z2" s="219">
        <v>55.84</v>
      </c>
      <c r="AA2" s="219">
        <v>28.0855</v>
      </c>
      <c r="AB2" s="219">
        <v>58.693399999999997</v>
      </c>
      <c r="AC2" s="219">
        <v>63.545999999999999</v>
      </c>
      <c r="AD2" s="219">
        <v>65.38</v>
      </c>
      <c r="AE2" s="219">
        <v>12.01</v>
      </c>
      <c r="AF2" s="219">
        <v>30.973762000000001</v>
      </c>
      <c r="AG2" s="219">
        <v>32.064999999999998</v>
      </c>
      <c r="AH2" s="219">
        <v>14.0067</v>
      </c>
      <c r="AI2" s="219">
        <v>10.81</v>
      </c>
      <c r="AJ2" s="219">
        <v>54.938043999999998</v>
      </c>
      <c r="AK2" s="219">
        <v>24.305</v>
      </c>
      <c r="AL2" s="219">
        <v>51.996099999999998</v>
      </c>
      <c r="AM2" s="219">
        <v>95.95</v>
      </c>
      <c r="AN2" s="220">
        <v>47.866999999999997</v>
      </c>
      <c r="AO2" s="220">
        <v>50.941499999999998</v>
      </c>
      <c r="AP2" s="220">
        <v>92.906369999999995</v>
      </c>
      <c r="AQ2" s="220">
        <v>183.84</v>
      </c>
      <c r="AR2" s="220">
        <v>180.94788</v>
      </c>
      <c r="AS2" s="220">
        <v>91.224000000000004</v>
      </c>
      <c r="AT2" s="220">
        <v>58.933194999999998</v>
      </c>
      <c r="AU2" s="220">
        <v>26.981539999999999</v>
      </c>
      <c r="AV2" s="219">
        <v>121.76</v>
      </c>
      <c r="AW2" s="219">
        <v>207.2</v>
      </c>
      <c r="AX2" s="219">
        <v>118.71</v>
      </c>
      <c r="AY2" s="7"/>
    </row>
    <row r="3" spans="1:51" ht="18.75" x14ac:dyDescent="0.3">
      <c r="A3" s="36">
        <f>100*((((A2)/(Z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92.840162287943627</v>
      </c>
      <c r="B3" s="36">
        <f>100*((((B2)/(AA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1.741591189035695</v>
      </c>
      <c r="C3" s="36">
        <f>100*((((C2)/(AB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1.3390140731654472</v>
      </c>
      <c r="D3" s="36">
        <f>100*((((D2)/(AC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E3" s="36">
        <f>100*((((E2)/(AD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F3" s="36">
        <f>100*((((F2)/(AE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0.91521970155323784</v>
      </c>
      <c r="G3" s="36">
        <f>100*((((G2)/(AF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8.8718546811123438E-3</v>
      </c>
      <c r="H3" s="36">
        <f>100*((((H2)/(AG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1.7139854382745025E-3</v>
      </c>
      <c r="I3" s="36">
        <f>100*((((I2)/(AH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3.9237609914021089E-3</v>
      </c>
      <c r="J3" s="36">
        <f>100*((((J2)/(AI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7.6261253115085933E-3</v>
      </c>
      <c r="K3" s="36">
        <f>100*((((K2)/(AJ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1.6006086588236572</v>
      </c>
      <c r="L3" s="36">
        <f>100*((((L2)/(AK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2.2612196288118464E-3</v>
      </c>
      <c r="M3" s="36">
        <f>100*((((M2)/(AL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1.3740766327042508</v>
      </c>
      <c r="N3" s="36">
        <f>100*((((N2)/(AM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0.10882959025400381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P3" s="36">
        <f>100*((((P2)/(AO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5.6100920468972061E-2</v>
      </c>
      <c r="Q3" s="36">
        <f>100*((((Q2)/(AP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R3" s="36">
        <f>100*((((R2)/(AQ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S3" s="36">
        <f>100*((((S2)/(AR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T3" s="36">
        <f>100*((((T2)/(AS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U3" s="36">
        <f>100*((((U2)/(AT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V3" s="36">
        <f>100*((((V2)/(AU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W3" s="7">
        <f>100*((((W2)/(AV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X3" s="7">
        <f>100*((((X2)/(AW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Y3" s="7">
        <f>100*((((Y2)/(AX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V2))+((X2)/(AW2))+((Y2)/(AX2)))))</f>
        <v>0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51" ht="15.75" x14ac:dyDescent="0.25">
      <c r="A4" s="8" t="s">
        <v>18</v>
      </c>
      <c r="B4" s="9">
        <v>111</v>
      </c>
    </row>
    <row r="5" spans="1:51" ht="15.75" x14ac:dyDescent="0.25">
      <c r="A5" s="8" t="s">
        <v>19</v>
      </c>
      <c r="B5" s="9" t="s">
        <v>79</v>
      </c>
      <c r="C5" s="10"/>
    </row>
    <row r="6" spans="1:51" ht="15.75" x14ac:dyDescent="0.25">
      <c r="A6" s="8" t="s">
        <v>20</v>
      </c>
      <c r="B6" s="9">
        <f>'OK OK'!B13</f>
        <v>1000</v>
      </c>
      <c r="D6" s="8" t="s">
        <v>21</v>
      </c>
      <c r="E6" s="11" t="e">
        <f>IF(J33&gt;1,J33,"")</f>
        <v>#DIV/0!</v>
      </c>
      <c r="F6" s="12" t="s">
        <v>22</v>
      </c>
      <c r="G6" t="e">
        <f>E6/B6</f>
        <v>#DIV/0!</v>
      </c>
    </row>
    <row r="7" spans="1:51" ht="15.75" x14ac:dyDescent="0.25">
      <c r="A7" s="3"/>
      <c r="B7" t="s">
        <v>50</v>
      </c>
      <c r="C7" t="s">
        <v>51</v>
      </c>
    </row>
    <row r="8" spans="1:51" ht="18.75" x14ac:dyDescent="0.3">
      <c r="A8" s="3"/>
      <c r="B8" s="13" t="s">
        <v>23</v>
      </c>
      <c r="C8" s="13" t="s">
        <v>24</v>
      </c>
      <c r="D8" s="13" t="s">
        <v>25</v>
      </c>
      <c r="E8" s="19" t="s">
        <v>38</v>
      </c>
      <c r="F8" s="13" t="s">
        <v>25</v>
      </c>
      <c r="G8" s="10"/>
      <c r="H8" s="14" t="s">
        <v>26</v>
      </c>
      <c r="I8" s="14" t="s">
        <v>27</v>
      </c>
      <c r="J8" s="14" t="s">
        <v>28</v>
      </c>
      <c r="K8" s="14" t="s">
        <v>29</v>
      </c>
      <c r="Z8" s="57"/>
      <c r="AA8" s="58"/>
      <c r="AB8" s="59"/>
      <c r="AC8" s="60"/>
      <c r="AD8" s="59"/>
      <c r="AE8" s="59"/>
      <c r="AF8" s="60"/>
      <c r="AG8" s="59"/>
      <c r="AH8" s="61"/>
      <c r="AI8" s="62"/>
      <c r="AJ8" s="62"/>
      <c r="AK8" s="63"/>
      <c r="AL8" s="63"/>
      <c r="AM8" s="62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</row>
    <row r="9" spans="1:51" ht="18.75" x14ac:dyDescent="0.3">
      <c r="A9" s="66" t="s">
        <v>14</v>
      </c>
      <c r="B9" s="15">
        <f>TEOR.EQ_A_G_13!A3</f>
        <v>100</v>
      </c>
      <c r="C9" s="15">
        <f>TIG.EQ_At_G_1!A3</f>
        <v>94.332432355284283</v>
      </c>
      <c r="D9" s="16" t="e">
        <f>IF(K9&gt;0,K9,"")</f>
        <v>#DIV/0!</v>
      </c>
      <c r="E9" s="13" t="s">
        <v>56</v>
      </c>
      <c r="F9" s="20" t="e">
        <f t="shared" ref="F9:F12" si="0">D9</f>
        <v>#DIV/0!</v>
      </c>
      <c r="G9" s="90"/>
      <c r="H9" s="91" t="e">
        <f t="shared" ref="H9:H32" si="1">IF(B9&gt;0,$J$33*B9/100,"")</f>
        <v>#DIV/0!</v>
      </c>
      <c r="I9" s="91">
        <f>IF(C9&gt;0,$B$6*C9/100,"")</f>
        <v>943.32432355284288</v>
      </c>
      <c r="J9" s="91">
        <f>IF(B9&gt;0,I9/B9*100,"")</f>
        <v>943.324323552843</v>
      </c>
      <c r="K9" s="91" t="e">
        <f t="shared" ref="K9:K31" si="2">IF(H9&gt;H41,(H9-I9),"")</f>
        <v>#DIV/0!</v>
      </c>
      <c r="M9">
        <v>1</v>
      </c>
      <c r="O9" s="154" t="e">
        <f>D9</f>
        <v>#DIV/0!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V9" s="7"/>
      <c r="AW9" s="7"/>
      <c r="AX9" s="7"/>
    </row>
    <row r="10" spans="1:51" ht="18" x14ac:dyDescent="0.25">
      <c r="A10" s="66" t="s">
        <v>15</v>
      </c>
      <c r="B10" s="15">
        <f>TEOR.EQ_A_G_13!B3</f>
        <v>0</v>
      </c>
      <c r="C10" s="15">
        <f>TIG.EQ_At_G_1!B3</f>
        <v>0.89003710221410315</v>
      </c>
      <c r="D10" s="16" t="str">
        <f>IF(K10&gt;0,K10,"")</f>
        <v/>
      </c>
      <c r="E10" s="13" t="s">
        <v>16</v>
      </c>
      <c r="F10" s="20" t="e">
        <f>D10*5</f>
        <v>#VALUE!</v>
      </c>
      <c r="G10" s="90"/>
      <c r="H10" s="91" t="str">
        <f t="shared" si="1"/>
        <v/>
      </c>
      <c r="I10" s="91">
        <f t="shared" ref="I10:I16" si="3">IF(C10&gt;0,$B$6*C10/100,"")</f>
        <v>8.9003710221410319</v>
      </c>
      <c r="J10" s="91" t="str">
        <f>IF(B10&gt;0,I10/B10*100,"")</f>
        <v/>
      </c>
      <c r="K10" s="91" t="str">
        <f t="shared" si="2"/>
        <v/>
      </c>
      <c r="M10">
        <v>2</v>
      </c>
      <c r="O10" s="154" t="str">
        <f>D10</f>
        <v/>
      </c>
    </row>
    <row r="11" spans="1:51" ht="18" x14ac:dyDescent="0.25">
      <c r="A11" s="66" t="s">
        <v>8</v>
      </c>
      <c r="B11" s="15">
        <f>TEOR.EQ_A_G_13!C3</f>
        <v>0</v>
      </c>
      <c r="C11" s="15">
        <f>TIG.EQ_At_G_1!C3</f>
        <v>1.4300596136698511</v>
      </c>
      <c r="D11" s="16" t="str">
        <f t="shared" ref="D11:D32" si="4">IF(K11&gt;0,K11,"")</f>
        <v/>
      </c>
      <c r="E11" s="13" t="s">
        <v>13</v>
      </c>
      <c r="F11" s="20" t="str">
        <f t="shared" si="0"/>
        <v/>
      </c>
      <c r="G11" s="90"/>
      <c r="H11" s="91" t="str">
        <f t="shared" si="1"/>
        <v/>
      </c>
      <c r="I11" s="91">
        <f t="shared" si="3"/>
        <v>14.300596136698511</v>
      </c>
      <c r="J11" s="91" t="str">
        <f>IF(B11&gt;0,I11/B11*100,"")</f>
        <v/>
      </c>
      <c r="K11" s="91" t="str">
        <f t="shared" si="2"/>
        <v/>
      </c>
      <c r="M11">
        <v>3</v>
      </c>
      <c r="O11" s="154" t="str">
        <f>D11</f>
        <v/>
      </c>
    </row>
    <row r="12" spans="1:51" ht="18" x14ac:dyDescent="0.25">
      <c r="A12" s="66" t="s">
        <v>9</v>
      </c>
      <c r="B12" s="15">
        <f>TEOR.EQ_A_G_13!D3</f>
        <v>0</v>
      </c>
      <c r="C12" s="15">
        <f>TIG.EQ_At_G_1!D3</f>
        <v>0</v>
      </c>
      <c r="D12" s="16" t="str">
        <f t="shared" si="4"/>
        <v/>
      </c>
      <c r="E12" s="13" t="s">
        <v>15</v>
      </c>
      <c r="F12" s="20" t="str">
        <f t="shared" si="0"/>
        <v/>
      </c>
      <c r="G12" s="90"/>
      <c r="H12" s="91" t="str">
        <f t="shared" si="1"/>
        <v/>
      </c>
      <c r="I12" s="91" t="str">
        <f>IF(C12&gt;0,$B$6*C12/100,"")</f>
        <v/>
      </c>
      <c r="J12" s="91" t="str">
        <f>IF(B12&gt;0,I12/B12*100,"")</f>
        <v/>
      </c>
      <c r="K12" s="91" t="str">
        <f t="shared" si="2"/>
        <v/>
      </c>
      <c r="M12">
        <v>4</v>
      </c>
      <c r="O12" s="154" t="str">
        <f>D17</f>
        <v/>
      </c>
    </row>
    <row r="13" spans="1:51" ht="18" x14ac:dyDescent="0.25">
      <c r="A13" s="66" t="s">
        <v>234</v>
      </c>
      <c r="B13" s="15">
        <f>TEOR.EQ_A_G_13!E3</f>
        <v>0</v>
      </c>
      <c r="C13" s="15">
        <f>TIG.EQ_At_G_1!E3</f>
        <v>0</v>
      </c>
      <c r="D13" s="16" t="str">
        <f t="shared" si="4"/>
        <v/>
      </c>
      <c r="E13" s="13" t="s">
        <v>17</v>
      </c>
      <c r="F13" s="20" t="e">
        <f>D13*10</f>
        <v>#VALUE!</v>
      </c>
      <c r="G13" s="90"/>
      <c r="H13" s="91" t="str">
        <f t="shared" si="1"/>
        <v/>
      </c>
      <c r="I13" s="91" t="str">
        <f t="shared" si="3"/>
        <v/>
      </c>
      <c r="J13" s="91" t="str">
        <f>IF(B13&gt;0,I13/B13*100,"")</f>
        <v/>
      </c>
      <c r="K13" s="91" t="str">
        <f t="shared" si="2"/>
        <v/>
      </c>
      <c r="M13">
        <v>5</v>
      </c>
      <c r="O13" s="154"/>
    </row>
    <row r="14" spans="1:51" ht="18" x14ac:dyDescent="0.25">
      <c r="A14" s="66" t="s">
        <v>56</v>
      </c>
      <c r="B14" s="15">
        <f>TEOR.EQ_A_G_13!F3</f>
        <v>0</v>
      </c>
      <c r="C14" s="15">
        <f>TIG.EQ_At_G_1!F3</f>
        <v>0.20533994550961771</v>
      </c>
      <c r="D14" s="16" t="str">
        <f t="shared" si="4"/>
        <v/>
      </c>
      <c r="E14" s="13" t="s">
        <v>45</v>
      </c>
      <c r="F14" s="20" t="e">
        <f>D14*10</f>
        <v>#VALUE!</v>
      </c>
      <c r="G14" s="90"/>
      <c r="H14" s="91" t="str">
        <f t="shared" si="1"/>
        <v/>
      </c>
      <c r="I14" s="91">
        <f t="shared" si="3"/>
        <v>2.0533994550961769</v>
      </c>
      <c r="J14" s="91" t="e">
        <f>IF(C14&gt;0.14,I14/B14*100,"")</f>
        <v>#DIV/0!</v>
      </c>
      <c r="K14" s="91" t="str">
        <f t="shared" si="2"/>
        <v/>
      </c>
      <c r="M14">
        <v>6</v>
      </c>
      <c r="O14" s="154" t="str">
        <f>D14</f>
        <v/>
      </c>
    </row>
    <row r="15" spans="1:51" ht="18" x14ac:dyDescent="0.25">
      <c r="A15" s="66" t="s">
        <v>57</v>
      </c>
      <c r="B15" s="15">
        <f>TEOR.EQ_A_G_13!G3</f>
        <v>0</v>
      </c>
      <c r="C15" s="15">
        <f>TIG.EQ_At_G_1!G3</f>
        <v>0</v>
      </c>
      <c r="D15" s="16" t="str">
        <f>IF(K15&gt;0,K15,"")</f>
        <v/>
      </c>
      <c r="E15" s="13" t="s">
        <v>14</v>
      </c>
      <c r="F15" s="20" t="e">
        <f>(F13-D13)+(F10-D10)+(F14-D14)</f>
        <v>#VALUE!</v>
      </c>
      <c r="G15" s="90"/>
      <c r="H15" s="91" t="str">
        <f t="shared" si="1"/>
        <v/>
      </c>
      <c r="I15" s="91" t="str">
        <f>IF(C15&gt;0,$B$6*C15/100,"")</f>
        <v/>
      </c>
      <c r="J15" s="91" t="str">
        <f>IF(B15&gt;0,I15/B15*100,"")</f>
        <v/>
      </c>
      <c r="K15" s="91" t="str">
        <f t="shared" si="2"/>
        <v/>
      </c>
      <c r="M15">
        <v>7</v>
      </c>
      <c r="O15" s="154"/>
    </row>
    <row r="16" spans="1:51" ht="18" x14ac:dyDescent="0.25">
      <c r="A16" s="66" t="s">
        <v>58</v>
      </c>
      <c r="B16" s="15">
        <f>TEOR.EQ_A_G_13!H3</f>
        <v>0</v>
      </c>
      <c r="C16" s="15">
        <f>TIG.EQ_At_G_1!H3</f>
        <v>0</v>
      </c>
      <c r="D16" s="16" t="str">
        <f t="shared" si="4"/>
        <v/>
      </c>
      <c r="E16" s="13"/>
      <c r="F16" s="21" t="e">
        <f>D16*10</f>
        <v>#VALUE!</v>
      </c>
      <c r="G16" s="90"/>
      <c r="H16" s="91" t="str">
        <f t="shared" si="1"/>
        <v/>
      </c>
      <c r="I16" s="91" t="str">
        <f t="shared" si="3"/>
        <v/>
      </c>
      <c r="J16" s="91" t="str">
        <f>IF(B16&gt;0,I16/B16*100,"")</f>
        <v/>
      </c>
      <c r="K16" s="91" t="str">
        <f t="shared" si="2"/>
        <v/>
      </c>
      <c r="M16">
        <v>8</v>
      </c>
      <c r="O16" s="154"/>
    </row>
    <row r="17" spans="1:15" ht="18" x14ac:dyDescent="0.25">
      <c r="A17" s="66" t="s">
        <v>77</v>
      </c>
      <c r="B17" s="15">
        <f>TEOR.EQ_A_G_13!I3</f>
        <v>0</v>
      </c>
      <c r="C17" s="15">
        <f>TIG.EQ_At_G_1!I3</f>
        <v>0</v>
      </c>
      <c r="D17" s="16" t="str">
        <f t="shared" si="4"/>
        <v/>
      </c>
      <c r="E17" s="13"/>
      <c r="F17" s="17" t="str">
        <f>D17</f>
        <v/>
      </c>
      <c r="G17" s="90"/>
      <c r="H17" s="91" t="str">
        <f t="shared" si="1"/>
        <v/>
      </c>
      <c r="I17" s="91" t="str">
        <f>IF(C17&gt;0,$B$6*C17/100,"")</f>
        <v/>
      </c>
      <c r="J17" s="91" t="str">
        <f>IF(B17&gt;0,I17/B17*100,"")</f>
        <v/>
      </c>
      <c r="K17" s="91" t="str">
        <f t="shared" si="2"/>
        <v/>
      </c>
      <c r="M17">
        <v>9</v>
      </c>
      <c r="O17" s="154"/>
    </row>
    <row r="18" spans="1:15" ht="18" x14ac:dyDescent="0.25">
      <c r="A18" s="66" t="s">
        <v>204</v>
      </c>
      <c r="B18" s="15">
        <f>TEOR.EQ_A_G_13!J3</f>
        <v>0</v>
      </c>
      <c r="C18" s="15">
        <f>TIG.EQ_At_G_1!J3</f>
        <v>0</v>
      </c>
      <c r="D18" s="92" t="str">
        <f t="shared" si="4"/>
        <v/>
      </c>
      <c r="H18" s="91" t="str">
        <f t="shared" si="1"/>
        <v/>
      </c>
      <c r="I18" s="91" t="str">
        <f t="shared" ref="I18:I32" si="5">IF(C18&gt;0,$B$6*C18/100,"")</f>
        <v/>
      </c>
      <c r="J18" s="91" t="str">
        <f t="shared" ref="J18:J32" si="6">IF(B18&gt;0,I18/B18*100,"")</f>
        <v/>
      </c>
      <c r="K18" s="91" t="str">
        <f>IF(H18&gt;H50,(H18-I18),"")</f>
        <v/>
      </c>
      <c r="M18">
        <v>10</v>
      </c>
      <c r="O18" s="154" t="str">
        <f>D18</f>
        <v/>
      </c>
    </row>
    <row r="19" spans="1:15" ht="18" x14ac:dyDescent="0.25">
      <c r="A19" s="66" t="s">
        <v>16</v>
      </c>
      <c r="B19" s="15">
        <f>TEOR.EQ_A_G_13!K3</f>
        <v>0</v>
      </c>
      <c r="C19" s="15">
        <f>TIG.EQ_At_G_1!K3</f>
        <v>1.6000667006096232</v>
      </c>
      <c r="D19" t="str">
        <f t="shared" si="4"/>
        <v/>
      </c>
      <c r="H19" s="91" t="str">
        <f t="shared" si="1"/>
        <v/>
      </c>
      <c r="I19" s="91">
        <f t="shared" si="5"/>
        <v>16.000667006096233</v>
      </c>
      <c r="J19" s="91" t="str">
        <f t="shared" si="6"/>
        <v/>
      </c>
      <c r="K19" s="91" t="str">
        <f t="shared" si="2"/>
        <v/>
      </c>
      <c r="M19">
        <v>11</v>
      </c>
      <c r="O19" s="154" t="str">
        <f>D19</f>
        <v/>
      </c>
    </row>
    <row r="20" spans="1:15" ht="18" x14ac:dyDescent="0.25">
      <c r="A20" s="66" t="s">
        <v>12</v>
      </c>
      <c r="B20" s="15">
        <f>TEOR.EQ_A_G_13!L3</f>
        <v>0</v>
      </c>
      <c r="C20" s="15">
        <f>TIG.EQ_At_G_1!L3</f>
        <v>0</v>
      </c>
      <c r="D20" t="str">
        <f t="shared" si="4"/>
        <v/>
      </c>
      <c r="H20" s="91" t="str">
        <f t="shared" si="1"/>
        <v/>
      </c>
      <c r="I20" s="91" t="str">
        <f t="shared" si="5"/>
        <v/>
      </c>
      <c r="J20" s="91" t="str">
        <f t="shared" si="6"/>
        <v/>
      </c>
      <c r="K20" s="91" t="str">
        <f t="shared" si="2"/>
        <v/>
      </c>
      <c r="M20">
        <v>12</v>
      </c>
      <c r="O20" s="154" t="str">
        <f>D20</f>
        <v/>
      </c>
    </row>
    <row r="21" spans="1:15" ht="18" x14ac:dyDescent="0.25">
      <c r="A21" s="66" t="s">
        <v>44</v>
      </c>
      <c r="B21" s="15">
        <f>TEOR.EQ_A_G_13!M3</f>
        <v>0</v>
      </c>
      <c r="C21" s="15">
        <f>TIG.EQ_At_G_1!M3</f>
        <v>1.3000541942453192</v>
      </c>
      <c r="D21" t="str">
        <f t="shared" si="4"/>
        <v/>
      </c>
      <c r="H21" s="91" t="str">
        <f t="shared" si="1"/>
        <v/>
      </c>
      <c r="I21" s="91">
        <f t="shared" si="5"/>
        <v>13.000541942453191</v>
      </c>
      <c r="J21" s="91" t="str">
        <f t="shared" si="6"/>
        <v/>
      </c>
      <c r="K21" s="91" t="str">
        <f t="shared" si="2"/>
        <v/>
      </c>
      <c r="M21">
        <v>13</v>
      </c>
      <c r="O21" s="154" t="str">
        <f>D21</f>
        <v/>
      </c>
    </row>
    <row r="22" spans="1:15" ht="18" x14ac:dyDescent="0.25">
      <c r="A22" s="66" t="s">
        <v>55</v>
      </c>
      <c r="B22" s="15">
        <f>TEOR.EQ_A_G_13!N3</f>
        <v>0</v>
      </c>
      <c r="C22" s="15">
        <f>TIG.EQ_At_G_1!N3</f>
        <v>0.19000792069739278</v>
      </c>
      <c r="D22" t="str">
        <f t="shared" si="4"/>
        <v/>
      </c>
      <c r="H22" s="91" t="str">
        <f t="shared" si="1"/>
        <v/>
      </c>
      <c r="I22" s="91">
        <f t="shared" si="5"/>
        <v>1.9000792069739278</v>
      </c>
      <c r="J22" s="91" t="str">
        <f t="shared" si="6"/>
        <v/>
      </c>
      <c r="K22" s="91" t="str">
        <f t="shared" si="2"/>
        <v/>
      </c>
      <c r="M22">
        <v>14</v>
      </c>
      <c r="O22" s="154"/>
    </row>
    <row r="23" spans="1:15" ht="18" x14ac:dyDescent="0.25">
      <c r="A23" s="66" t="s">
        <v>17</v>
      </c>
      <c r="B23" s="15">
        <f>TEOR.EQ_A_G_13!O3</f>
        <v>0</v>
      </c>
      <c r="C23" s="15">
        <f>TIG.EQ_At_G_1!O3</f>
        <v>0</v>
      </c>
      <c r="D23" t="str">
        <f t="shared" si="4"/>
        <v/>
      </c>
      <c r="H23" s="91" t="str">
        <f t="shared" si="1"/>
        <v/>
      </c>
      <c r="I23" s="91" t="str">
        <f t="shared" si="5"/>
        <v/>
      </c>
      <c r="J23" s="91" t="str">
        <f t="shared" si="6"/>
        <v/>
      </c>
      <c r="K23" s="91" t="str">
        <f>IF(H23&gt;H65,(H23-I23),"")</f>
        <v/>
      </c>
      <c r="M23">
        <v>15</v>
      </c>
      <c r="O23" s="154"/>
    </row>
    <row r="24" spans="1:15" ht="18" x14ac:dyDescent="0.25">
      <c r="A24" s="66" t="s">
        <v>80</v>
      </c>
      <c r="B24" s="15">
        <f>TEOR.EQ_A_G_13!P3</f>
        <v>0</v>
      </c>
      <c r="C24" s="15">
        <f>TIG.EQ_At_G_1!P3</f>
        <v>5.2002167769812764E-2</v>
      </c>
      <c r="D24" t="str">
        <f t="shared" si="4"/>
        <v/>
      </c>
      <c r="E24" t="s">
        <v>90</v>
      </c>
      <c r="F24" s="3"/>
      <c r="G24" s="3"/>
      <c r="H24" s="91" t="str">
        <f t="shared" si="1"/>
        <v/>
      </c>
      <c r="I24" s="91">
        <f t="shared" si="5"/>
        <v>0.52002167769812768</v>
      </c>
      <c r="J24" s="91" t="str">
        <f t="shared" si="6"/>
        <v/>
      </c>
      <c r="K24" s="91" t="str">
        <f>IF(H24&gt;H66,(H24-I24),"")</f>
        <v/>
      </c>
      <c r="L24" s="3"/>
      <c r="M24">
        <v>16</v>
      </c>
    </row>
    <row r="25" spans="1:15" ht="18" x14ac:dyDescent="0.25">
      <c r="A25" s="66" t="s">
        <v>81</v>
      </c>
      <c r="B25" s="15">
        <f>TEOR.EQ_A_G_13!Q3</f>
        <v>0</v>
      </c>
      <c r="C25" s="15">
        <f>TIG.EQ_At_G_1!Q3</f>
        <v>0</v>
      </c>
      <c r="D25" t="str">
        <f t="shared" si="4"/>
        <v/>
      </c>
      <c r="F25" s="69"/>
      <c r="G25" s="69"/>
      <c r="H25" s="91" t="str">
        <f t="shared" si="1"/>
        <v/>
      </c>
      <c r="I25" s="91" t="str">
        <f t="shared" si="5"/>
        <v/>
      </c>
      <c r="J25" s="91" t="str">
        <f t="shared" si="6"/>
        <v/>
      </c>
      <c r="K25" s="91" t="str">
        <f t="shared" si="2"/>
        <v/>
      </c>
      <c r="L25" s="69"/>
      <c r="M25">
        <v>17</v>
      </c>
    </row>
    <row r="26" spans="1:15" ht="18" x14ac:dyDescent="0.25">
      <c r="A26" s="66" t="s">
        <v>82</v>
      </c>
      <c r="B26" s="15">
        <f>TEOR.EQ_A_G_13!R3</f>
        <v>0</v>
      </c>
      <c r="C26" s="15">
        <f>TIG.EQ_At_G_1!R3</f>
        <v>0</v>
      </c>
      <c r="D26" t="str">
        <f t="shared" si="4"/>
        <v/>
      </c>
      <c r="E26" t="s">
        <v>91</v>
      </c>
      <c r="F26" s="4"/>
      <c r="G26" s="4"/>
      <c r="H26" s="91" t="str">
        <f t="shared" si="1"/>
        <v/>
      </c>
      <c r="I26" s="91" t="str">
        <f t="shared" si="5"/>
        <v/>
      </c>
      <c r="J26" s="91" t="str">
        <f t="shared" si="6"/>
        <v/>
      </c>
      <c r="K26" s="91" t="str">
        <f t="shared" si="2"/>
        <v/>
      </c>
      <c r="L26" s="4"/>
      <c r="M26">
        <v>18</v>
      </c>
    </row>
    <row r="27" spans="1:15" ht="18" x14ac:dyDescent="0.25">
      <c r="A27" s="66" t="s">
        <v>83</v>
      </c>
      <c r="B27" s="15">
        <f>TEOR.EQ_A_G_13!S3</f>
        <v>0</v>
      </c>
      <c r="C27" s="15">
        <f>TIG.EQ_At_G_1!S3</f>
        <v>0</v>
      </c>
      <c r="D27" t="str">
        <f t="shared" si="4"/>
        <v/>
      </c>
      <c r="H27" s="91" t="str">
        <f t="shared" si="1"/>
        <v/>
      </c>
      <c r="I27" s="91" t="str">
        <f t="shared" si="5"/>
        <v/>
      </c>
      <c r="J27" s="91" t="str">
        <f t="shared" si="6"/>
        <v/>
      </c>
      <c r="K27" s="91" t="str">
        <f t="shared" si="2"/>
        <v/>
      </c>
      <c r="M27">
        <v>19</v>
      </c>
    </row>
    <row r="28" spans="1:15" ht="18" x14ac:dyDescent="0.25">
      <c r="A28" s="66" t="s">
        <v>45</v>
      </c>
      <c r="B28" s="15">
        <f>TEOR.EQ_A_G_13!T3</f>
        <v>0</v>
      </c>
      <c r="C28" s="15">
        <f>TIG.EQ_At_G_1!T3</f>
        <v>0</v>
      </c>
      <c r="D28" t="str">
        <f t="shared" si="4"/>
        <v/>
      </c>
      <c r="H28" s="91" t="str">
        <f t="shared" si="1"/>
        <v/>
      </c>
      <c r="I28" s="91" t="str">
        <f t="shared" si="5"/>
        <v/>
      </c>
      <c r="J28" s="91" t="str">
        <f t="shared" si="6"/>
        <v/>
      </c>
      <c r="K28" s="91" t="str">
        <f t="shared" si="2"/>
        <v/>
      </c>
      <c r="M28">
        <v>20</v>
      </c>
    </row>
    <row r="29" spans="1:15" ht="18" x14ac:dyDescent="0.25">
      <c r="A29" s="66" t="s">
        <v>43</v>
      </c>
      <c r="B29" s="15">
        <f>TEOR.EQ_A_G_13!U3</f>
        <v>0</v>
      </c>
      <c r="C29" s="15">
        <f>TIG.EQ_At_G_1!U3</f>
        <v>0</v>
      </c>
      <c r="D29" t="str">
        <f t="shared" si="4"/>
        <v/>
      </c>
      <c r="H29" s="91" t="str">
        <f t="shared" si="1"/>
        <v/>
      </c>
      <c r="I29" s="91" t="str">
        <f t="shared" si="5"/>
        <v/>
      </c>
      <c r="J29" s="91" t="str">
        <f t="shared" si="6"/>
        <v/>
      </c>
      <c r="K29" s="91" t="str">
        <f t="shared" si="2"/>
        <v/>
      </c>
      <c r="M29">
        <v>21</v>
      </c>
    </row>
    <row r="30" spans="1:15" ht="18" x14ac:dyDescent="0.25">
      <c r="A30" s="66" t="s">
        <v>13</v>
      </c>
      <c r="B30" s="15">
        <f>TEOR.EQ_A_G_13!V3</f>
        <v>0</v>
      </c>
      <c r="C30" s="15">
        <f>TIG.EQ_At_G_1!V3</f>
        <v>0</v>
      </c>
      <c r="D30" t="str">
        <f t="shared" si="4"/>
        <v/>
      </c>
      <c r="H30" s="91" t="str">
        <f t="shared" si="1"/>
        <v/>
      </c>
      <c r="I30" s="91" t="str">
        <f t="shared" si="5"/>
        <v/>
      </c>
      <c r="J30" s="91" t="str">
        <f t="shared" si="6"/>
        <v/>
      </c>
      <c r="K30" s="91" t="str">
        <f t="shared" si="2"/>
        <v/>
      </c>
      <c r="M30">
        <v>22</v>
      </c>
    </row>
    <row r="31" spans="1:15" ht="18" x14ac:dyDescent="0.25">
      <c r="A31" s="66" t="s">
        <v>0</v>
      </c>
      <c r="B31" s="15">
        <f>TEOR.EQ_A_G_13!W3</f>
        <v>0</v>
      </c>
      <c r="C31" s="15">
        <f>TIG.EQ_At_G_1!W3</f>
        <v>0</v>
      </c>
      <c r="D31" t="str">
        <f t="shared" si="4"/>
        <v/>
      </c>
      <c r="H31" s="91" t="str">
        <f t="shared" si="1"/>
        <v/>
      </c>
      <c r="I31" s="91" t="str">
        <f t="shared" si="5"/>
        <v/>
      </c>
      <c r="J31" s="91" t="str">
        <f t="shared" si="6"/>
        <v/>
      </c>
      <c r="K31" s="91" t="str">
        <f t="shared" si="2"/>
        <v/>
      </c>
      <c r="M31">
        <v>23</v>
      </c>
    </row>
    <row r="32" spans="1:15" ht="18" x14ac:dyDescent="0.25">
      <c r="A32" s="66" t="s">
        <v>11</v>
      </c>
      <c r="B32" s="15">
        <f>TEOR.EQ_A_G_13!X3</f>
        <v>0</v>
      </c>
      <c r="C32" s="15">
        <f>TIG.EQ_At_G_1!X3</f>
        <v>0</v>
      </c>
      <c r="D32" t="str">
        <f t="shared" si="4"/>
        <v/>
      </c>
      <c r="H32" s="91" t="str">
        <f t="shared" si="1"/>
        <v/>
      </c>
      <c r="I32" s="91" t="str">
        <f t="shared" si="5"/>
        <v/>
      </c>
      <c r="J32" s="91" t="str">
        <f t="shared" si="6"/>
        <v/>
      </c>
      <c r="K32" s="91" t="str">
        <f>IF(H32&gt;H64,(H32-I32),"")</f>
        <v/>
      </c>
      <c r="M32">
        <v>24</v>
      </c>
    </row>
    <row r="33" spans="1:26" ht="18" x14ac:dyDescent="0.25">
      <c r="A33" s="66" t="s">
        <v>10</v>
      </c>
      <c r="B33" s="15">
        <f>TEOR.EQ_A_G_13!Y3</f>
        <v>0</v>
      </c>
      <c r="C33" s="15">
        <f>TIG.EQ_At_G_1!Y3</f>
        <v>0</v>
      </c>
      <c r="D33" t="e">
        <f>IF(K34&gt;0,K34,"")</f>
        <v>#DIV/0!</v>
      </c>
      <c r="E33" s="17" t="e">
        <f>D15-F33</f>
        <v>#VALUE!</v>
      </c>
      <c r="F33" s="17" t="e">
        <f>(F14-D14)+(F13-D13)</f>
        <v>#VALUE!</v>
      </c>
      <c r="G33" s="90" t="s">
        <v>30</v>
      </c>
      <c r="H33" s="91" t="e">
        <f>SUM(H9:H32)</f>
        <v>#DIV/0!</v>
      </c>
      <c r="I33" s="91">
        <f>SUM(I9:I32)</f>
        <v>1000</v>
      </c>
      <c r="J33" s="91" t="e">
        <f>MAX(J9:J32)</f>
        <v>#DIV/0!</v>
      </c>
      <c r="K33" s="91" t="e">
        <f>IF(H33&gt;H65,(H33-I33),"")</f>
        <v>#DIV/0!</v>
      </c>
      <c r="M33">
        <v>25</v>
      </c>
    </row>
    <row r="34" spans="1:26" x14ac:dyDescent="0.25">
      <c r="B34" s="14">
        <f>SUM(B9:B33)</f>
        <v>100</v>
      </c>
      <c r="C34" s="14">
        <f>SUM(C9:C32)</f>
        <v>100.00000000000001</v>
      </c>
      <c r="D34" s="18" t="e">
        <f>SUM(D10:D33)</f>
        <v>#DIV/0!</v>
      </c>
      <c r="G34" s="337" t="s">
        <v>31</v>
      </c>
      <c r="H34" s="338"/>
      <c r="I34" s="91"/>
      <c r="J34" s="91" t="e">
        <f>IF(B6&gt;0,B6+D33,"")</f>
        <v>#DIV/0!</v>
      </c>
      <c r="K34" s="91" t="e">
        <f>SUM(K9:K32)</f>
        <v>#DIV/0!</v>
      </c>
    </row>
    <row r="35" spans="1:26" ht="18" x14ac:dyDescent="0.25">
      <c r="A35">
        <f>'OK OK'!A3</f>
        <v>0</v>
      </c>
      <c r="B35" s="210" t="s">
        <v>14</v>
      </c>
      <c r="C35" s="210" t="s">
        <v>15</v>
      </c>
      <c r="D35" s="210" t="s">
        <v>8</v>
      </c>
      <c r="E35" s="210" t="s">
        <v>9</v>
      </c>
      <c r="F35" s="210" t="s">
        <v>234</v>
      </c>
      <c r="G35" s="210" t="s">
        <v>56</v>
      </c>
      <c r="H35" s="210" t="s">
        <v>57</v>
      </c>
      <c r="I35" s="210" t="s">
        <v>58</v>
      </c>
      <c r="J35" s="210" t="s">
        <v>77</v>
      </c>
      <c r="K35" s="210" t="s">
        <v>204</v>
      </c>
      <c r="L35" s="210" t="s">
        <v>16</v>
      </c>
      <c r="M35" s="210" t="s">
        <v>12</v>
      </c>
      <c r="N35" s="210" t="s">
        <v>44</v>
      </c>
      <c r="O35" s="210" t="s">
        <v>55</v>
      </c>
      <c r="P35" s="210" t="s">
        <v>17</v>
      </c>
      <c r="Q35" s="210" t="s">
        <v>80</v>
      </c>
      <c r="R35" s="210" t="s">
        <v>81</v>
      </c>
      <c r="S35" s="210" t="s">
        <v>82</v>
      </c>
      <c r="T35" s="210" t="s">
        <v>83</v>
      </c>
      <c r="U35" s="210" t="s">
        <v>45</v>
      </c>
      <c r="V35" s="210" t="s">
        <v>43</v>
      </c>
      <c r="W35" s="210" t="s">
        <v>13</v>
      </c>
      <c r="X35" s="210" t="s">
        <v>0</v>
      </c>
      <c r="Y35" s="210" t="s">
        <v>11</v>
      </c>
      <c r="Z35" s="210" t="s">
        <v>10</v>
      </c>
    </row>
    <row r="36" spans="1:26" x14ac:dyDescent="0.25">
      <c r="A36" s="124" t="str">
        <f>'OK OK'!A4</f>
        <v>Composition in the crucible</v>
      </c>
      <c r="B36">
        <f>'OK OK'!B4</f>
        <v>94.328499999999991</v>
      </c>
      <c r="C36">
        <f>'OK OK'!C4</f>
        <v>0.89</v>
      </c>
      <c r="D36">
        <f>'OK OK'!D4</f>
        <v>1.43</v>
      </c>
      <c r="E36">
        <f>'OK OK'!E4</f>
        <v>0</v>
      </c>
      <c r="F36">
        <f>'OK OK'!F4</f>
        <v>0</v>
      </c>
      <c r="G36">
        <f>'OK OK'!G4</f>
        <v>0.2</v>
      </c>
      <c r="H36">
        <f>'OK OK'!H4</f>
        <v>5.0000000000000001E-3</v>
      </c>
      <c r="I36">
        <f>'OK OK'!I4</f>
        <v>1E-3</v>
      </c>
      <c r="J36">
        <f>'OK OK'!J4</f>
        <v>1E-3</v>
      </c>
      <c r="K36">
        <f>'OK OK'!K4</f>
        <v>1.5E-3</v>
      </c>
      <c r="L36">
        <f>'OK OK'!L4</f>
        <v>1.6</v>
      </c>
      <c r="M36">
        <f>'OK OK'!M4</f>
        <v>1E-3</v>
      </c>
      <c r="N36">
        <f>'OK OK'!N4</f>
        <v>1.3</v>
      </c>
      <c r="O36">
        <f>'OK OK'!O4</f>
        <v>0.19</v>
      </c>
      <c r="P36">
        <f>'OK OK'!P4</f>
        <v>0</v>
      </c>
      <c r="Q36">
        <f>'OK OK'!Q4</f>
        <v>5.1999999999999998E-2</v>
      </c>
      <c r="R36">
        <f>'OK OK'!R4</f>
        <v>0</v>
      </c>
      <c r="S36">
        <f>'OK OK'!S4</f>
        <v>0</v>
      </c>
      <c r="T36">
        <f>'OK OK'!T4</f>
        <v>0</v>
      </c>
      <c r="U36">
        <f>'OK OK'!U4</f>
        <v>0</v>
      </c>
      <c r="V36">
        <f>'OK OK'!V4</f>
        <v>0</v>
      </c>
      <c r="W36">
        <f>'OK OK'!W4</f>
        <v>0</v>
      </c>
      <c r="X36">
        <f>'OK OK'!X4</f>
        <v>0</v>
      </c>
      <c r="Y36">
        <f>'OK OK'!Y4</f>
        <v>0</v>
      </c>
      <c r="Z36">
        <f>'OK OK'!Z4</f>
        <v>0</v>
      </c>
    </row>
    <row r="37" spans="1:26" x14ac:dyDescent="0.25">
      <c r="A37" s="96" t="s">
        <v>165</v>
      </c>
      <c r="B37" t="e">
        <f>100-C37-D37-E37-F37-G37-H37-I37-J37-K37-L37-M37-N37-O37-P37-Q37-R37-S37-T37-U37-V37-W37-X37-Y37-Z37</f>
        <v>#DIV/0!</v>
      </c>
      <c r="C37" t="e">
        <f>C36/G6</f>
        <v>#DIV/0!</v>
      </c>
      <c r="D37" t="e">
        <f>D36/G6</f>
        <v>#DIV/0!</v>
      </c>
      <c r="E37" t="e">
        <f>E36/G6</f>
        <v>#DIV/0!</v>
      </c>
      <c r="F37" t="e">
        <f>F36/G6</f>
        <v>#DIV/0!</v>
      </c>
      <c r="G37" t="e">
        <f>G36/G6</f>
        <v>#DIV/0!</v>
      </c>
      <c r="H37" t="e">
        <f>H36/G6</f>
        <v>#DIV/0!</v>
      </c>
      <c r="I37" t="e">
        <f>I36/G6</f>
        <v>#DIV/0!</v>
      </c>
      <c r="J37" t="e">
        <f>J36/G6</f>
        <v>#DIV/0!</v>
      </c>
      <c r="K37" t="e">
        <f>K36/G6</f>
        <v>#DIV/0!</v>
      </c>
      <c r="L37" t="e">
        <f>L36/G6</f>
        <v>#DIV/0!</v>
      </c>
      <c r="M37" t="e">
        <f>M36/G6</f>
        <v>#DIV/0!</v>
      </c>
      <c r="N37" t="e">
        <f>N36/G6</f>
        <v>#DIV/0!</v>
      </c>
      <c r="O37" t="e">
        <f>O36/G6</f>
        <v>#DIV/0!</v>
      </c>
      <c r="P37" t="e">
        <f>P36/G6</f>
        <v>#DIV/0!</v>
      </c>
      <c r="Q37" t="e">
        <f>Q36/G6</f>
        <v>#DIV/0!</v>
      </c>
      <c r="R37" t="e">
        <f>R36/G6</f>
        <v>#DIV/0!</v>
      </c>
      <c r="S37" t="e">
        <f>S36/G6</f>
        <v>#DIV/0!</v>
      </c>
      <c r="T37" t="e">
        <f>T36/G6</f>
        <v>#DIV/0!</v>
      </c>
      <c r="U37" t="e">
        <f>U36/G6</f>
        <v>#DIV/0!</v>
      </c>
      <c r="V37" t="e">
        <f>V36/G6</f>
        <v>#DIV/0!</v>
      </c>
      <c r="W37" t="e">
        <f>W36/G6</f>
        <v>#DIV/0!</v>
      </c>
      <c r="X37" t="e">
        <f>X36/G6</f>
        <v>#DIV/0!</v>
      </c>
      <c r="Y37" t="e">
        <f>Y36/G6</f>
        <v>#DIV/0!</v>
      </c>
      <c r="Z37" t="e">
        <f>Z36/G6</f>
        <v>#DIV/0!</v>
      </c>
    </row>
    <row r="54" spans="1:51" ht="18.75" x14ac:dyDescent="0.3">
      <c r="B54" s="210" t="s">
        <v>14</v>
      </c>
      <c r="C54" s="210" t="s">
        <v>15</v>
      </c>
      <c r="D54" s="210" t="s">
        <v>8</v>
      </c>
      <c r="E54" s="210" t="s">
        <v>9</v>
      </c>
      <c r="F54" s="210" t="s">
        <v>234</v>
      </c>
      <c r="G54" s="210" t="s">
        <v>56</v>
      </c>
      <c r="H54" s="210" t="s">
        <v>57</v>
      </c>
      <c r="I54" s="210" t="s">
        <v>58</v>
      </c>
      <c r="J54" s="210" t="s">
        <v>77</v>
      </c>
      <c r="K54" s="210" t="s">
        <v>204</v>
      </c>
      <c r="L54" s="210" t="s">
        <v>16</v>
      </c>
      <c r="M54" s="210" t="s">
        <v>12</v>
      </c>
      <c r="N54" s="210" t="s">
        <v>44</v>
      </c>
      <c r="O54" s="210" t="s">
        <v>55</v>
      </c>
      <c r="P54" s="210" t="s">
        <v>17</v>
      </c>
      <c r="Q54" s="210" t="s">
        <v>80</v>
      </c>
      <c r="R54" s="210" t="s">
        <v>81</v>
      </c>
      <c r="S54" s="210" t="s">
        <v>82</v>
      </c>
      <c r="T54" s="210" t="s">
        <v>83</v>
      </c>
      <c r="U54" s="210" t="s">
        <v>45</v>
      </c>
      <c r="V54" s="210" t="s">
        <v>43</v>
      </c>
      <c r="W54" s="210" t="s">
        <v>13</v>
      </c>
      <c r="X54" s="210" t="s">
        <v>0</v>
      </c>
      <c r="Y54" s="210" t="s">
        <v>11</v>
      </c>
      <c r="Z54" s="210" t="s">
        <v>10</v>
      </c>
      <c r="AA54" s="211" t="s">
        <v>14</v>
      </c>
      <c r="AB54" s="212" t="s">
        <v>15</v>
      </c>
      <c r="AC54" s="213" t="s">
        <v>8</v>
      </c>
      <c r="AD54" s="214" t="s">
        <v>9</v>
      </c>
      <c r="AE54" s="213" t="s">
        <v>234</v>
      </c>
      <c r="AF54" s="213" t="s">
        <v>56</v>
      </c>
      <c r="AG54" s="214" t="s">
        <v>57</v>
      </c>
      <c r="AH54" s="213" t="s">
        <v>58</v>
      </c>
      <c r="AI54" s="215" t="s">
        <v>77</v>
      </c>
      <c r="AJ54" s="216" t="s">
        <v>204</v>
      </c>
      <c r="AK54" s="216" t="s">
        <v>16</v>
      </c>
      <c r="AL54" s="210" t="s">
        <v>13</v>
      </c>
      <c r="AM54" s="215" t="s">
        <v>44</v>
      </c>
      <c r="AN54" s="216" t="s">
        <v>55</v>
      </c>
      <c r="AO54" s="210" t="s">
        <v>17</v>
      </c>
      <c r="AP54" s="210" t="s">
        <v>80</v>
      </c>
      <c r="AQ54" s="210" t="s">
        <v>81</v>
      </c>
      <c r="AR54" s="210" t="s">
        <v>82</v>
      </c>
      <c r="AS54" s="210" t="s">
        <v>83</v>
      </c>
      <c r="AT54" s="210" t="s">
        <v>45</v>
      </c>
      <c r="AU54" s="210" t="s">
        <v>43</v>
      </c>
      <c r="AV54" s="210" t="s">
        <v>12</v>
      </c>
      <c r="AW54" s="210" t="s">
        <v>0</v>
      </c>
      <c r="AX54" s="210" t="s">
        <v>11</v>
      </c>
      <c r="AY54" s="210" t="s">
        <v>10</v>
      </c>
    </row>
    <row r="55" spans="1:51" ht="18.75" x14ac:dyDescent="0.3">
      <c r="B55" s="36" t="e">
        <f>100-C55-D55-E55-F55-G55-H55-I55-J55-K55-L55-M55-N55-O55-P55-Q55-R55-S55-T55-U55-V55-W55-X55-Y55-Z55</f>
        <v>#DIV/0!</v>
      </c>
      <c r="C55" s="37" t="e">
        <f>C37</f>
        <v>#DIV/0!</v>
      </c>
      <c r="D55" s="37" t="e">
        <f t="shared" ref="D55:Z55" si="7">D37</f>
        <v>#DIV/0!</v>
      </c>
      <c r="E55" s="37" t="e">
        <f t="shared" si="7"/>
        <v>#DIV/0!</v>
      </c>
      <c r="F55" s="37" t="e">
        <f t="shared" si="7"/>
        <v>#DIV/0!</v>
      </c>
      <c r="G55" s="37" t="e">
        <f t="shared" si="7"/>
        <v>#DIV/0!</v>
      </c>
      <c r="H55" s="37" t="e">
        <f t="shared" si="7"/>
        <v>#DIV/0!</v>
      </c>
      <c r="I55" s="37" t="e">
        <f t="shared" si="7"/>
        <v>#DIV/0!</v>
      </c>
      <c r="J55" s="37" t="e">
        <f t="shared" si="7"/>
        <v>#DIV/0!</v>
      </c>
      <c r="K55" s="37" t="e">
        <f t="shared" si="7"/>
        <v>#DIV/0!</v>
      </c>
      <c r="L55" s="37" t="e">
        <f t="shared" si="7"/>
        <v>#DIV/0!</v>
      </c>
      <c r="M55" s="37" t="e">
        <f t="shared" si="7"/>
        <v>#DIV/0!</v>
      </c>
      <c r="N55" s="37" t="e">
        <f t="shared" si="7"/>
        <v>#DIV/0!</v>
      </c>
      <c r="O55" s="37" t="e">
        <f t="shared" si="7"/>
        <v>#DIV/0!</v>
      </c>
      <c r="P55" s="37" t="e">
        <f t="shared" si="7"/>
        <v>#DIV/0!</v>
      </c>
      <c r="Q55" s="37" t="e">
        <f t="shared" si="7"/>
        <v>#DIV/0!</v>
      </c>
      <c r="R55" s="37" t="e">
        <f t="shared" si="7"/>
        <v>#DIV/0!</v>
      </c>
      <c r="S55" s="37" t="e">
        <f t="shared" si="7"/>
        <v>#DIV/0!</v>
      </c>
      <c r="T55" s="37" t="e">
        <f t="shared" si="7"/>
        <v>#DIV/0!</v>
      </c>
      <c r="U55" s="37" t="e">
        <f t="shared" si="7"/>
        <v>#DIV/0!</v>
      </c>
      <c r="V55" s="37" t="e">
        <f t="shared" si="7"/>
        <v>#DIV/0!</v>
      </c>
      <c r="W55" s="37" t="e">
        <f t="shared" si="7"/>
        <v>#DIV/0!</v>
      </c>
      <c r="X55" s="37" t="e">
        <f t="shared" si="7"/>
        <v>#DIV/0!</v>
      </c>
      <c r="Y55" s="37" t="e">
        <f t="shared" si="7"/>
        <v>#DIV/0!</v>
      </c>
      <c r="Z55" s="37" t="e">
        <f t="shared" si="7"/>
        <v>#DIV/0!</v>
      </c>
      <c r="AA55" s="219">
        <v>55.84</v>
      </c>
      <c r="AB55" s="219">
        <v>28.0855</v>
      </c>
      <c r="AC55" s="219">
        <v>58.693399999999997</v>
      </c>
      <c r="AD55" s="219">
        <v>63.545999999999999</v>
      </c>
      <c r="AE55" s="219">
        <v>65.38</v>
      </c>
      <c r="AF55" s="219">
        <v>12.01</v>
      </c>
      <c r="AG55" s="219">
        <v>30.973762000000001</v>
      </c>
      <c r="AH55" s="219">
        <v>32.064999999999998</v>
      </c>
      <c r="AI55" s="219">
        <v>14.0067</v>
      </c>
      <c r="AJ55" s="219">
        <v>10.81</v>
      </c>
      <c r="AK55" s="219">
        <v>54.938043999999998</v>
      </c>
      <c r="AL55" s="219">
        <v>24.305</v>
      </c>
      <c r="AM55" s="219">
        <v>51.996099999999998</v>
      </c>
      <c r="AN55" s="219">
        <v>95.95</v>
      </c>
      <c r="AO55" s="220">
        <v>47.866999999999997</v>
      </c>
      <c r="AP55" s="220">
        <v>50.941499999999998</v>
      </c>
      <c r="AQ55" s="220">
        <v>92.906369999999995</v>
      </c>
      <c r="AR55" s="220">
        <v>183.84</v>
      </c>
      <c r="AS55" s="220">
        <v>180.94788</v>
      </c>
      <c r="AT55" s="220">
        <v>91.224000000000004</v>
      </c>
      <c r="AU55" s="220">
        <v>58.933194999999998</v>
      </c>
      <c r="AV55" s="220">
        <v>26.981539999999999</v>
      </c>
      <c r="AW55" s="219">
        <v>121.76</v>
      </c>
      <c r="AX55" s="219">
        <v>207.2</v>
      </c>
      <c r="AY55" s="219">
        <v>118.71</v>
      </c>
    </row>
    <row r="56" spans="1:51" ht="18.75" x14ac:dyDescent="0.3">
      <c r="A56" s="96" t="s">
        <v>166</v>
      </c>
      <c r="B56" s="36" t="e">
        <f>100*((((B55)/(AA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C56" s="36" t="e">
        <f>100*((((C55)/(AB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D56" s="36" t="e">
        <f>100*((((D55)/(AC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E56" s="36" t="e">
        <f>100*((((E55)/(AD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F56" s="36" t="e">
        <f>100*((((F55)/(AE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G56" s="36" t="e">
        <f>100*((((G55)/(AF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H56" s="36" t="e">
        <f>100*((((H55)/(AG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I56" s="36" t="e">
        <f>100*((((I55)/(AH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J56" s="36" t="e">
        <f>100*((((J55)/(AI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K56" s="36" t="e">
        <f>100*((((K55)/(AJ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L56" s="36" t="e">
        <f>100*((((L55)/(AK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M56" s="36" t="e">
        <f>100*((((M55)/(AL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N56" s="36" t="e">
        <f>100*((((N55)/(AM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O56" s="36" t="e">
        <f>100*((((O55)/(AN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P56" s="36" t="e">
        <f>100*((((P55)/(AO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Q56" s="36" t="e">
        <f>100*((((Q55)/(AP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R56" s="36" t="e">
        <f>100*((((R55)/(AQ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S56" s="36" t="e">
        <f>100*((((S55)/(AR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T56" s="36" t="e">
        <f>100*((((T55)/(AS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U56" s="36" t="e">
        <f>100*((((U55)/(AT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V56" s="36" t="e">
        <f>100*((((V55)/(AU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W56" s="36" t="e">
        <f>100*((((W55)/(AV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X56" s="7" t="e">
        <f>100*((((X55)/(AW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Y56" s="7" t="e">
        <f>100*((((Y55)/(AX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Z56" s="7" t="e">
        <f>100*((((Z55)/(AY55))/(((B55)/(AA55))+((C55)/(AB55))+((D55)/(AC55))+((E55)/(AD55))+((F55)/(AE55))+((G55)/(AF55))+((H55)/(AG55))+((I55)/(AH55))+((J55)/(AI55))+((K55)/(AJ55))+((L55)/(AK55))+((M55)/(AL55))+((N55)/(AM55))+((O55)/(AN55))+((P55)/(AO55))+((Q55)/(AP55))+((R55)/(AQ55))+((S55)/(AR55))+((T55)/(AS55))+((U55)/(AT55))+((V55)/(AU55))+((W55)/(AV55))+((X55)/(AX55))+((Y55)/(AX55))+((Z55)/(AY55)))))</f>
        <v>#DIV/0!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</sheetData>
  <mergeCells count="1">
    <mergeCell ref="G34:H34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6E281-6E08-45E6-85BD-E5ACCB2471D6}">
  <dimension ref="A1:AY22"/>
  <sheetViews>
    <sheetView zoomScale="75" zoomScaleNormal="75" workbookViewId="0">
      <selection activeCell="C5" sqref="C5:T7"/>
    </sheetView>
  </sheetViews>
  <sheetFormatPr baseColWidth="10" defaultColWidth="8.7109375" defaultRowHeight="15" x14ac:dyDescent="0.25"/>
  <cols>
    <col min="1" max="1" width="24.42578125" customWidth="1"/>
    <col min="2" max="2" width="15.85546875" customWidth="1"/>
    <col min="3" max="3" width="16.28515625" customWidth="1"/>
    <col min="4" max="4" width="11.5703125" customWidth="1"/>
    <col min="5" max="5" width="8.140625" customWidth="1"/>
    <col min="6" max="6" width="7.140625" customWidth="1"/>
    <col min="7" max="8" width="6.5703125" customWidth="1"/>
    <col min="9" max="9" width="9.42578125" customWidth="1"/>
    <col min="10" max="10" width="12.7109375" customWidth="1"/>
    <col min="11" max="11" width="11.7109375" customWidth="1"/>
    <col min="12" max="12" width="9" customWidth="1"/>
    <col min="13" max="14" width="9.42578125" customWidth="1"/>
    <col min="15" max="15" width="14.42578125" customWidth="1"/>
    <col min="16" max="16" width="12.7109375" bestFit="1" customWidth="1"/>
    <col min="17" max="17" width="10.5703125" bestFit="1" customWidth="1"/>
    <col min="18" max="25" width="12.7109375" bestFit="1" customWidth="1"/>
    <col min="26" max="26" width="11.5703125" bestFit="1" customWidth="1"/>
  </cols>
  <sheetData>
    <row r="1" spans="1:26" ht="21" x14ac:dyDescent="0.35">
      <c r="A1" s="89" t="s">
        <v>34</v>
      </c>
      <c r="B1" s="89"/>
      <c r="C1" s="89">
        <f>C5-C2</f>
        <v>-1.9665209567587216E-2</v>
      </c>
      <c r="D1" s="89">
        <f>D4-D2</f>
        <v>0.62665447666005791</v>
      </c>
      <c r="E1" s="89">
        <f>E2-E5</f>
        <v>0</v>
      </c>
      <c r="F1" s="89">
        <f>F4-F2</f>
        <v>0</v>
      </c>
      <c r="G1" s="89">
        <f t="shared" ref="G1:O1" si="0">G4-G2</f>
        <v>-11.591713377564583</v>
      </c>
      <c r="H1" s="89">
        <f t="shared" si="0"/>
        <v>4.1520007620633901E-3</v>
      </c>
      <c r="I1" s="89">
        <f>I4-I2</f>
        <v>8.0213992470276065E-4</v>
      </c>
      <c r="J1" s="89">
        <f>J5-J2</f>
        <v>0</v>
      </c>
      <c r="K1" s="89">
        <f>K5-K2</f>
        <v>0</v>
      </c>
      <c r="L1" s="89">
        <f t="shared" si="0"/>
        <v>8.1300307164361318E-2</v>
      </c>
      <c r="M1" s="89">
        <f t="shared" si="0"/>
        <v>1.0582438463523562E-3</v>
      </c>
      <c r="N1" s="89">
        <f t="shared" si="0"/>
        <v>-23.397003131049903</v>
      </c>
      <c r="O1" s="89">
        <f t="shared" si="0"/>
        <v>5.093191422889904E-2</v>
      </c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 spans="1:26" ht="21" x14ac:dyDescent="0.35">
      <c r="A2" s="89" t="s">
        <v>37</v>
      </c>
      <c r="B2" s="138">
        <f>100-C2-D2-E2-F2-G2-H2-I2-J2-K2-L2-M2-N2-O2</f>
        <v>62.437395659432383</v>
      </c>
      <c r="C2" s="89">
        <f>'1.0330_3'!C5</f>
        <v>0.8347245409015025</v>
      </c>
      <c r="D2" s="89">
        <f>'1.0330_3'!D5</f>
        <v>0</v>
      </c>
      <c r="E2" s="89">
        <f>'1.0330_3'!E5</f>
        <v>0</v>
      </c>
      <c r="F2" s="89">
        <f>'1.0330_3'!F5</f>
        <v>0</v>
      </c>
      <c r="G2" s="89">
        <f>'1.0330_3'!G5</f>
        <v>12.020033388981636</v>
      </c>
      <c r="H2" s="89">
        <f>'1.0330_3'!H5</f>
        <v>0</v>
      </c>
      <c r="I2" s="89">
        <f>'1.0330_3'!I5</f>
        <v>0</v>
      </c>
      <c r="J2" s="89">
        <f>'1.0330_3'!J5</f>
        <v>0</v>
      </c>
      <c r="K2" s="89">
        <f>'1.0330_3'!K5</f>
        <v>0</v>
      </c>
      <c r="L2" s="89">
        <f>'1.0330_3'!L5</f>
        <v>0.667779632721202</v>
      </c>
      <c r="M2" s="89">
        <f>'1.0330_3'!M5</f>
        <v>0</v>
      </c>
      <c r="N2" s="89">
        <f>'1.0330_3'!N5</f>
        <v>24.040066777963272</v>
      </c>
      <c r="O2" s="89">
        <f>'1.0330_3'!O5</f>
        <v>0</v>
      </c>
      <c r="P2" s="89">
        <f>'1.0330_3'!P5</f>
        <v>0</v>
      </c>
      <c r="Q2" s="89">
        <f>'1.0330_3'!Q5</f>
        <v>0</v>
      </c>
      <c r="R2" s="89">
        <f>'1.0330_3'!R5</f>
        <v>0</v>
      </c>
      <c r="S2" s="89">
        <f>'1.0330_3'!S5</f>
        <v>0</v>
      </c>
      <c r="T2" s="89">
        <f>'1.0330_3'!T5</f>
        <v>0</v>
      </c>
      <c r="U2" s="89">
        <f>'1.0330_3'!U5</f>
        <v>0</v>
      </c>
      <c r="V2" s="89">
        <f>'1.0330_3'!V5</f>
        <v>0</v>
      </c>
      <c r="W2" s="89">
        <f>'1.0330_3'!W5</f>
        <v>0</v>
      </c>
      <c r="X2" s="89">
        <f>'1.0330_3'!X5</f>
        <v>0</v>
      </c>
      <c r="Y2" s="89">
        <f>'1.0330_3'!Y5</f>
        <v>0</v>
      </c>
      <c r="Z2" s="89">
        <f>'1.0330_3'!Z5</f>
        <v>0</v>
      </c>
    </row>
    <row r="3" spans="1:26" ht="21" x14ac:dyDescent="0.35">
      <c r="A3" s="89"/>
      <c r="B3" s="210" t="s">
        <v>14</v>
      </c>
      <c r="C3" s="210" t="s">
        <v>15</v>
      </c>
      <c r="D3" s="210" t="s">
        <v>8</v>
      </c>
      <c r="E3" s="210" t="s">
        <v>9</v>
      </c>
      <c r="F3" s="210" t="s">
        <v>234</v>
      </c>
      <c r="G3" s="210" t="s">
        <v>56</v>
      </c>
      <c r="H3" s="210" t="s">
        <v>57</v>
      </c>
      <c r="I3" s="210" t="s">
        <v>58</v>
      </c>
      <c r="J3" s="210" t="s">
        <v>77</v>
      </c>
      <c r="K3" s="210" t="s">
        <v>204</v>
      </c>
      <c r="L3" s="210" t="s">
        <v>16</v>
      </c>
      <c r="M3" s="210" t="s">
        <v>12</v>
      </c>
      <c r="N3" s="210" t="s">
        <v>44</v>
      </c>
      <c r="O3" s="210" t="s">
        <v>55</v>
      </c>
      <c r="P3" s="210" t="s">
        <v>17</v>
      </c>
      <c r="Q3" s="210" t="s">
        <v>80</v>
      </c>
      <c r="R3" s="210" t="s">
        <v>81</v>
      </c>
      <c r="S3" s="210" t="s">
        <v>82</v>
      </c>
      <c r="T3" s="210" t="s">
        <v>83</v>
      </c>
      <c r="U3" s="210" t="s">
        <v>45</v>
      </c>
      <c r="V3" s="210" t="s">
        <v>43</v>
      </c>
      <c r="W3" s="210" t="s">
        <v>13</v>
      </c>
      <c r="X3" s="210" t="s">
        <v>0</v>
      </c>
      <c r="Y3" s="210" t="s">
        <v>11</v>
      </c>
      <c r="Z3" s="210" t="s">
        <v>10</v>
      </c>
    </row>
    <row r="4" spans="1:26" ht="21" x14ac:dyDescent="0.35">
      <c r="A4" s="89" t="s">
        <v>35</v>
      </c>
      <c r="B4" s="89">
        <f>100-C4-D4-E4-F4-G4-H4-I4-J4-K4-L4-M4-N4-O4-P4-Q4-R4-S4-T4-U4-V4-W4-X4-Y4-Z4</f>
        <v>96.649217925086532</v>
      </c>
      <c r="C4" s="89">
        <f>'opt 2'!C56</f>
        <v>0.81505933133391528</v>
      </c>
      <c r="D4" s="89">
        <f>'opt 2'!D56</f>
        <v>0.62665447666005791</v>
      </c>
      <c r="E4" s="89">
        <f>'opt 2'!E56</f>
        <v>0</v>
      </c>
      <c r="F4" s="89">
        <f>'opt 2'!F56</f>
        <v>0</v>
      </c>
      <c r="G4" s="89">
        <f>'opt 2'!G56</f>
        <v>0.42832001141705273</v>
      </c>
      <c r="H4" s="89">
        <f>'opt 2'!H56</f>
        <v>4.1520007620633901E-3</v>
      </c>
      <c r="I4" s="89">
        <f>'opt 2'!I56</f>
        <v>8.0213992470276065E-4</v>
      </c>
      <c r="J4" s="89">
        <f>'opt 2'!J56</f>
        <v>1.8363081015224151E-3</v>
      </c>
      <c r="K4" s="89">
        <f>'opt 2'!K56</f>
        <v>3.5690032403691979E-3</v>
      </c>
      <c r="L4" s="89">
        <f>'opt 2'!L56</f>
        <v>0.74907993988556332</v>
      </c>
      <c r="M4" s="89">
        <f>'opt 2'!M56</f>
        <v>1.0582438463523562E-3</v>
      </c>
      <c r="N4" s="89">
        <f>'opt 2'!N56</f>
        <v>0.64306364691336892</v>
      </c>
      <c r="O4" s="89">
        <f>'opt 2'!O56</f>
        <v>5.093191422889904E-2</v>
      </c>
      <c r="P4" s="89">
        <f>'opt 2'!P56</f>
        <v>0</v>
      </c>
      <c r="Q4" s="89">
        <f>'opt 2'!Q56</f>
        <v>2.6255058599587544E-2</v>
      </c>
      <c r="R4" s="89">
        <f>'opt 2'!R56</f>
        <v>0</v>
      </c>
      <c r="S4" s="89">
        <f>'opt 2'!S56</f>
        <v>0</v>
      </c>
      <c r="T4" s="89">
        <f>'opt 2'!T56</f>
        <v>0</v>
      </c>
      <c r="U4" s="89">
        <f>'opt 2'!U56</f>
        <v>0</v>
      </c>
      <c r="V4" s="89">
        <f>'opt 2'!V56</f>
        <v>0</v>
      </c>
      <c r="W4" s="89">
        <f>'opt 2'!W56</f>
        <v>0</v>
      </c>
      <c r="X4" s="89">
        <f>'opt 2'!X56</f>
        <v>0</v>
      </c>
      <c r="Y4" s="89">
        <f>'opt 2'!Y56</f>
        <v>0</v>
      </c>
      <c r="Z4" s="89">
        <f>'opt 2'!Z56</f>
        <v>0</v>
      </c>
    </row>
    <row r="5" spans="1:26" ht="21" x14ac:dyDescent="0.35">
      <c r="A5" s="89" t="s">
        <v>36</v>
      </c>
      <c r="B5" s="89">
        <f>100-C5-D5-E5-F5-G5-H5-I5-J5-K5-L5-M5-N5-O5</f>
        <v>96.649217925086546</v>
      </c>
      <c r="C5" s="149">
        <f>C4</f>
        <v>0.81505933133391528</v>
      </c>
      <c r="D5" s="158"/>
      <c r="E5" s="159"/>
      <c r="F5" s="159"/>
      <c r="G5" s="159">
        <f>G4+D4+E4+F4+H4+I4+J4+K4+M4+V4</f>
        <v>1.0663921839521209</v>
      </c>
      <c r="H5" s="159"/>
      <c r="I5" s="159"/>
      <c r="J5" s="149"/>
      <c r="K5" s="149"/>
      <c r="L5" s="7">
        <f>L4</f>
        <v>0.74907993988556332</v>
      </c>
      <c r="M5" s="7"/>
      <c r="N5" s="7">
        <f>N4+O4+P4+Q4+R4+S4+T4+U4+W4+X4+Y4+Z4</f>
        <v>0.72025061974185556</v>
      </c>
      <c r="O5" s="7"/>
      <c r="P5" s="7"/>
      <c r="Q5" s="7"/>
      <c r="R5" s="89"/>
      <c r="S5" s="7"/>
      <c r="T5" s="7"/>
      <c r="U5" s="89"/>
      <c r="V5" s="89"/>
      <c r="W5" s="89"/>
      <c r="X5" s="89"/>
      <c r="Y5" s="89"/>
      <c r="Z5" s="89"/>
    </row>
    <row r="6" spans="1:26" ht="21" x14ac:dyDescent="0.35">
      <c r="A6" s="89"/>
      <c r="B6" s="8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89"/>
      <c r="S6" s="7"/>
      <c r="T6" s="7"/>
      <c r="U6" s="89"/>
      <c r="V6" s="89"/>
      <c r="W6" s="89"/>
      <c r="X6" s="89"/>
      <c r="Y6" s="89"/>
      <c r="Z6" s="89"/>
    </row>
    <row r="7" spans="1:26" ht="21" x14ac:dyDescent="0.35">
      <c r="A7" s="89" t="s">
        <v>92</v>
      </c>
      <c r="B7" s="139">
        <f>100-C7-D7-E7-F7-G7-H7-I7-J7-K7-L7-M7-N7-O7-P7-Q7-R7-S7-T7-U7-V7-W7-X7-Y7-Z7</f>
        <v>63.15265480479593</v>
      </c>
      <c r="C7" s="156">
        <f>C2</f>
        <v>0.8347245409015025</v>
      </c>
      <c r="D7" s="156"/>
      <c r="E7" s="156"/>
      <c r="F7" s="156"/>
      <c r="G7" s="156">
        <f>G2-D4-E4-F4-H4-I4-J4-K4-M4-V4</f>
        <v>11.38196121644657</v>
      </c>
      <c r="H7" s="156"/>
      <c r="I7" s="156"/>
      <c r="J7" s="156"/>
      <c r="K7" s="156"/>
      <c r="L7" s="156">
        <f>L2</f>
        <v>0.667779632721202</v>
      </c>
      <c r="M7" s="156">
        <f>M2</f>
        <v>0</v>
      </c>
      <c r="N7" s="156">
        <f>N2-O4-P4-Q4-R4-S4-T4-U4-W4-X4-Y4-Z4</f>
        <v>23.962879805134786</v>
      </c>
      <c r="O7" s="156"/>
      <c r="P7" s="156"/>
      <c r="Q7" s="156"/>
      <c r="R7" s="177"/>
      <c r="S7" s="156"/>
      <c r="T7" s="7"/>
      <c r="U7" s="89"/>
      <c r="V7" s="89"/>
      <c r="W7" s="89"/>
      <c r="X7" s="89"/>
      <c r="Y7" s="89"/>
      <c r="Z7" s="89"/>
    </row>
    <row r="8" spans="1:26" ht="21" x14ac:dyDescent="0.35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</row>
    <row r="9" spans="1:26" ht="21" x14ac:dyDescent="0.35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</row>
    <row r="10" spans="1:26" ht="21" x14ac:dyDescent="0.35">
      <c r="A10" s="89" t="s">
        <v>32</v>
      </c>
      <c r="B10" s="180"/>
      <c r="C10" s="180"/>
      <c r="D10" s="89"/>
      <c r="E10" s="180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 ht="21" x14ac:dyDescent="0.35">
      <c r="A11" s="89" t="s">
        <v>33</v>
      </c>
      <c r="B11" s="181"/>
      <c r="C11" s="181"/>
      <c r="D11" s="89"/>
      <c r="E11" s="181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 spans="1:26" ht="21" x14ac:dyDescent="0.35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 ht="21" x14ac:dyDescent="0.35">
      <c r="A13" s="89"/>
      <c r="B13" s="89" t="s">
        <v>14</v>
      </c>
      <c r="C13" s="180" t="s">
        <v>56</v>
      </c>
      <c r="D13" s="180" t="s">
        <v>15</v>
      </c>
      <c r="E13" s="181" t="s">
        <v>8</v>
      </c>
      <c r="F13" s="180" t="s">
        <v>9</v>
      </c>
      <c r="G13" s="180" t="s">
        <v>57</v>
      </c>
      <c r="H13" s="181" t="s">
        <v>58</v>
      </c>
      <c r="I13" s="180" t="s">
        <v>77</v>
      </c>
      <c r="J13" s="181" t="s">
        <v>13</v>
      </c>
      <c r="K13" s="180" t="s">
        <v>16</v>
      </c>
      <c r="L13" s="180" t="s">
        <v>55</v>
      </c>
      <c r="M13" s="181" t="s">
        <v>44</v>
      </c>
      <c r="N13" s="181" t="s">
        <v>10</v>
      </c>
      <c r="O13" s="180" t="s">
        <v>12</v>
      </c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 spans="1:26" ht="21" x14ac:dyDescent="0.35">
      <c r="A14" s="89" t="s">
        <v>39</v>
      </c>
      <c r="B14" s="89">
        <f>100-(C14+D14+E14+F14+G14+H14+I14+J14+K14+L14+M14+N14+O14)</f>
        <v>97.256207192179019</v>
      </c>
      <c r="C14" s="89">
        <f>C5-C1</f>
        <v>0.8347245409015025</v>
      </c>
      <c r="D14" s="89">
        <f>D5-D1</f>
        <v>-0.62665447666005791</v>
      </c>
      <c r="E14" s="89">
        <f t="shared" ref="E14:I14" si="1">E5</f>
        <v>0</v>
      </c>
      <c r="F14" s="89">
        <f t="shared" si="1"/>
        <v>0</v>
      </c>
      <c r="G14" s="89">
        <f t="shared" si="1"/>
        <v>1.0663921839521209</v>
      </c>
      <c r="H14" s="89">
        <f t="shared" si="1"/>
        <v>0</v>
      </c>
      <c r="I14" s="89">
        <f t="shared" si="1"/>
        <v>0</v>
      </c>
      <c r="J14" s="89">
        <f>J5-J1</f>
        <v>0</v>
      </c>
      <c r="K14" s="89">
        <f>K5-K1</f>
        <v>0</v>
      </c>
      <c r="L14" s="89">
        <f t="shared" ref="L14:O14" si="2">L5</f>
        <v>0.74907993988556332</v>
      </c>
      <c r="M14" s="89">
        <f t="shared" si="2"/>
        <v>0</v>
      </c>
      <c r="N14" s="89">
        <f t="shared" si="2"/>
        <v>0.72025061974185556</v>
      </c>
      <c r="O14" s="89">
        <f t="shared" si="2"/>
        <v>0</v>
      </c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spans="1:26" ht="21" x14ac:dyDescent="0.3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 spans="1:26" ht="21" x14ac:dyDescent="0.3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 spans="1:51" ht="21" x14ac:dyDescent="0.35">
      <c r="A17" s="89"/>
      <c r="B17" s="210" t="s">
        <v>14</v>
      </c>
      <c r="C17" s="210" t="s">
        <v>15</v>
      </c>
      <c r="D17" s="210" t="s">
        <v>8</v>
      </c>
      <c r="E17" s="210" t="s">
        <v>9</v>
      </c>
      <c r="F17" s="210" t="s">
        <v>234</v>
      </c>
      <c r="G17" s="210" t="s">
        <v>56</v>
      </c>
      <c r="H17" s="210" t="s">
        <v>57</v>
      </c>
      <c r="I17" s="210" t="s">
        <v>58</v>
      </c>
      <c r="J17" s="210" t="s">
        <v>77</v>
      </c>
      <c r="K17" s="210" t="s">
        <v>204</v>
      </c>
      <c r="L17" s="210" t="s">
        <v>16</v>
      </c>
      <c r="M17" s="210" t="s">
        <v>12</v>
      </c>
      <c r="N17" s="210" t="s">
        <v>44</v>
      </c>
      <c r="O17" s="210" t="s">
        <v>55</v>
      </c>
      <c r="P17" s="210" t="s">
        <v>17</v>
      </c>
      <c r="Q17" s="210" t="s">
        <v>80</v>
      </c>
      <c r="R17" s="210" t="s">
        <v>81</v>
      </c>
      <c r="S17" s="210" t="s">
        <v>82</v>
      </c>
      <c r="T17" s="210" t="s">
        <v>83</v>
      </c>
      <c r="U17" s="210" t="s">
        <v>45</v>
      </c>
      <c r="V17" s="210" t="s">
        <v>43</v>
      </c>
      <c r="W17" s="210" t="s">
        <v>13</v>
      </c>
      <c r="X17" s="210" t="s">
        <v>0</v>
      </c>
      <c r="Y17" s="210" t="s">
        <v>11</v>
      </c>
      <c r="Z17" s="210" t="s">
        <v>10</v>
      </c>
      <c r="AA17" s="211" t="s">
        <v>14</v>
      </c>
      <c r="AB17" s="212" t="s">
        <v>15</v>
      </c>
      <c r="AC17" s="213" t="s">
        <v>8</v>
      </c>
      <c r="AD17" s="214" t="s">
        <v>9</v>
      </c>
      <c r="AE17" s="213" t="s">
        <v>234</v>
      </c>
      <c r="AF17" s="213" t="s">
        <v>56</v>
      </c>
      <c r="AG17" s="214" t="s">
        <v>57</v>
      </c>
      <c r="AH17" s="213" t="s">
        <v>58</v>
      </c>
      <c r="AI17" s="215" t="s">
        <v>77</v>
      </c>
      <c r="AJ17" s="216" t="s">
        <v>204</v>
      </c>
      <c r="AK17" s="216" t="s">
        <v>16</v>
      </c>
      <c r="AL17" s="215" t="s">
        <v>12</v>
      </c>
      <c r="AM17" s="215" t="s">
        <v>44</v>
      </c>
      <c r="AN17" s="216" t="s">
        <v>55</v>
      </c>
      <c r="AO17" s="210" t="s">
        <v>17</v>
      </c>
      <c r="AP17" s="210" t="s">
        <v>80</v>
      </c>
      <c r="AQ17" s="210" t="s">
        <v>81</v>
      </c>
      <c r="AR17" s="210" t="s">
        <v>82</v>
      </c>
      <c r="AS17" s="210" t="s">
        <v>83</v>
      </c>
      <c r="AT17" s="210" t="s">
        <v>45</v>
      </c>
      <c r="AU17" s="210" t="s">
        <v>43</v>
      </c>
      <c r="AV17" s="210" t="s">
        <v>13</v>
      </c>
      <c r="AW17" s="210" t="s">
        <v>0</v>
      </c>
      <c r="AX17" s="210" t="s">
        <v>11</v>
      </c>
      <c r="AY17" s="210" t="s">
        <v>10</v>
      </c>
    </row>
    <row r="18" spans="1:51" ht="21" x14ac:dyDescent="0.35">
      <c r="A18" s="89"/>
      <c r="B18" s="217">
        <f>100-C18-D18-E18-F18-G18-H18-I18-J18-K18-L18-M18-N18-O18-P18-Q18-R18-S18-T18-U18-V18-W18-X18-Y18-Z18</f>
        <v>62.477968121632628</v>
      </c>
      <c r="C18" s="218">
        <f>C2</f>
        <v>0.8347245409015025</v>
      </c>
      <c r="D18" s="218">
        <f>D7</f>
        <v>0</v>
      </c>
      <c r="E18" s="218">
        <f t="shared" ref="E18:Z18" si="3">E4</f>
        <v>0</v>
      </c>
      <c r="F18" s="218">
        <f t="shared" si="3"/>
        <v>0</v>
      </c>
      <c r="G18" s="218">
        <f>G2</f>
        <v>12.020033388981636</v>
      </c>
      <c r="H18" s="218">
        <f>H4</f>
        <v>4.1520007620633901E-3</v>
      </c>
      <c r="I18" s="218">
        <f t="shared" si="3"/>
        <v>8.0213992470276065E-4</v>
      </c>
      <c r="J18" s="218">
        <f t="shared" si="3"/>
        <v>1.8363081015224151E-3</v>
      </c>
      <c r="K18" s="218">
        <f t="shared" si="3"/>
        <v>3.5690032403691979E-3</v>
      </c>
      <c r="L18" s="218">
        <f>L2</f>
        <v>0.667779632721202</v>
      </c>
      <c r="M18" s="218">
        <f>M2</f>
        <v>0</v>
      </c>
      <c r="N18" s="218">
        <f>N7</f>
        <v>23.962879805134786</v>
      </c>
      <c r="O18" s="218">
        <f>O2</f>
        <v>0</v>
      </c>
      <c r="P18" s="218">
        <f t="shared" si="3"/>
        <v>0</v>
      </c>
      <c r="Q18" s="218">
        <f t="shared" si="3"/>
        <v>2.6255058599587544E-2</v>
      </c>
      <c r="R18" s="218">
        <f t="shared" si="3"/>
        <v>0</v>
      </c>
      <c r="S18" s="218">
        <f t="shared" si="3"/>
        <v>0</v>
      </c>
      <c r="T18" s="218">
        <f t="shared" si="3"/>
        <v>0</v>
      </c>
      <c r="U18" s="218">
        <f t="shared" si="3"/>
        <v>0</v>
      </c>
      <c r="V18" s="218">
        <f t="shared" si="3"/>
        <v>0</v>
      </c>
      <c r="W18" s="218">
        <f t="shared" si="3"/>
        <v>0</v>
      </c>
      <c r="X18" s="218">
        <f t="shared" si="3"/>
        <v>0</v>
      </c>
      <c r="Y18" s="218">
        <f t="shared" si="3"/>
        <v>0</v>
      </c>
      <c r="Z18" s="218">
        <f t="shared" si="3"/>
        <v>0</v>
      </c>
      <c r="AA18" s="219">
        <v>55.84</v>
      </c>
      <c r="AB18" s="219">
        <v>28.0855</v>
      </c>
      <c r="AC18" s="219">
        <v>58.693399999999997</v>
      </c>
      <c r="AD18" s="219">
        <v>63.545999999999999</v>
      </c>
      <c r="AE18" s="219">
        <v>65.38</v>
      </c>
      <c r="AF18" s="219">
        <v>12.01</v>
      </c>
      <c r="AG18" s="219">
        <v>30.973762000000001</v>
      </c>
      <c r="AH18" s="219">
        <v>32.064999999999998</v>
      </c>
      <c r="AI18" s="219">
        <v>14.0067</v>
      </c>
      <c r="AJ18" s="219">
        <v>10.81</v>
      </c>
      <c r="AK18" s="219">
        <v>54.938043999999998</v>
      </c>
      <c r="AL18" s="219">
        <v>26.981539999999999</v>
      </c>
      <c r="AM18" s="219">
        <v>51.996099999999998</v>
      </c>
      <c r="AN18" s="219">
        <v>95.95</v>
      </c>
      <c r="AO18" s="220">
        <v>47.866999999999997</v>
      </c>
      <c r="AP18" s="220">
        <v>50.941499999999998</v>
      </c>
      <c r="AQ18" s="220">
        <v>92.906369999999995</v>
      </c>
      <c r="AR18" s="220">
        <v>183.84</v>
      </c>
      <c r="AS18" s="220">
        <v>180.94788</v>
      </c>
      <c r="AT18" s="220">
        <v>91.224000000000004</v>
      </c>
      <c r="AU18" s="220">
        <v>58.933194999999998</v>
      </c>
      <c r="AV18" s="220">
        <v>24.305</v>
      </c>
      <c r="AW18" s="219">
        <v>121.76</v>
      </c>
      <c r="AX18" s="219">
        <v>207.2</v>
      </c>
      <c r="AY18" s="219">
        <v>118.71</v>
      </c>
    </row>
    <row r="19" spans="1:51" ht="21" x14ac:dyDescent="0.35">
      <c r="A19" s="89"/>
      <c r="B19" s="217">
        <f>100*((((B18)*(AA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70.611535708766269</v>
      </c>
      <c r="C19" s="217">
        <f>100*((((C18)*(AB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0.47449177870684484</v>
      </c>
      <c r="D19" s="217">
        <f>100*((((D18)*(AC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E19" s="217">
        <f>100*((((E18)*(AD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F19" s="217">
        <f>100*((((F18)*(AE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G19" s="217">
        <f>100*((((G18)*(AF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2.921810406675208</v>
      </c>
      <c r="H19" s="217">
        <f>100*((((H18)*(AG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2.6028835075715545E-3</v>
      </c>
      <c r="I19" s="217">
        <f>100*((((I18)*(AH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5.2057670151431097E-4</v>
      </c>
      <c r="J19" s="217">
        <f>100*((((J18)*(AI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5.2057670151431075E-4</v>
      </c>
      <c r="K19" s="217">
        <f>100*((((K18)*(AJ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7.8086505227146661E-4</v>
      </c>
      <c r="L19" s="217">
        <f>100*((((L18)*(AK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0.74252266019789281</v>
      </c>
      <c r="M19" s="217">
        <f>100*((((M18)*(AL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N19" s="217">
        <f>100*((((N18)*(AM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25.218144555212156</v>
      </c>
      <c r="O19" s="217">
        <f>100*((((O18)*(AN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P19" s="217">
        <f>100*((((P18)*(AO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Q19" s="217">
        <f>100*((((Q18)*(AP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2.7069988478744166E-2</v>
      </c>
      <c r="R19" s="217">
        <f>100*((((R18)*(AQ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S19" s="217">
        <f>100*((((S18)*(AR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T19" s="217">
        <f>100*((((T18)*(AS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U19" s="217">
        <f>100*((((U18)*(AT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V19" s="217">
        <f>100*((((V18)*(AU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W19" s="217">
        <f>100*((((W18)*(AV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X19" s="219">
        <f>100*((((X18)*(AW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Y19" s="219">
        <f>100*((((Y18)*(AX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Z19" s="219">
        <f>100*((((Z18)*(AY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</row>
    <row r="20" spans="1:51" ht="21" x14ac:dyDescent="0.35">
      <c r="A20" s="89"/>
      <c r="B20" s="89"/>
      <c r="C20" s="89"/>
      <c r="D20" s="89"/>
      <c r="E20" s="89"/>
      <c r="F20" s="89">
        <f>F19/'opt 2'!G6</f>
        <v>0</v>
      </c>
      <c r="G20" s="89">
        <f>G19/'opt 2'!G6</f>
        <v>1.3558348767327035</v>
      </c>
      <c r="H20" s="89">
        <f>H19/'opt 2'!G6</f>
        <v>1.2078402594416396E-3</v>
      </c>
      <c r="I20" s="89">
        <f>I19/'opt 2'!G6</f>
        <v>2.4156805188832792E-4</v>
      </c>
      <c r="J20" s="89"/>
      <c r="K20" s="89"/>
      <c r="L20" s="89">
        <f>L19/'opt 2'!G6</f>
        <v>0.34455970078025644</v>
      </c>
      <c r="M20" s="89">
        <f>M19/'opt 2'!G6</f>
        <v>0</v>
      </c>
      <c r="N20" s="89">
        <f>N19/'opt 2'!G6</f>
        <v>11.702210326970183</v>
      </c>
      <c r="O20" s="89">
        <f>O19/'opt 2'!G6</f>
        <v>0</v>
      </c>
      <c r="P20" s="89">
        <f>P19/'opt 2'!G6</f>
        <v>0</v>
      </c>
      <c r="Q20" s="89">
        <f>Q19/'opt 2'!G6</f>
        <v>1.2561538698193051E-2</v>
      </c>
      <c r="R20" s="89">
        <f>R19/'opt 2'!G6</f>
        <v>0</v>
      </c>
      <c r="S20" s="89">
        <f>S19/'opt 2'!G6</f>
        <v>0</v>
      </c>
      <c r="T20" s="89">
        <f>T19/'opt 2'!G6</f>
        <v>0</v>
      </c>
      <c r="U20" s="89">
        <f>U19/'opt 2'!G6</f>
        <v>0</v>
      </c>
      <c r="V20" s="89">
        <f>V19/'opt 2'!G6</f>
        <v>0</v>
      </c>
      <c r="W20" s="89">
        <f>W19/'opt 2'!G6</f>
        <v>0</v>
      </c>
      <c r="X20" s="89">
        <f>X19/'opt 2'!G6</f>
        <v>0</v>
      </c>
      <c r="Y20" s="89">
        <f>Y19/'opt 2'!G6</f>
        <v>0</v>
      </c>
      <c r="Z20" s="89">
        <f>Z19/'opt 2'!G6</f>
        <v>0</v>
      </c>
    </row>
    <row r="21" spans="1:51" ht="21" x14ac:dyDescent="0.3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 spans="1:51" ht="21" x14ac:dyDescent="0.3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</row>
  </sheetData>
  <pageMargins left="0.7" right="0.7" top="0.75" bottom="0.75" header="0.3" footer="0.3"/>
  <pageSetup paperSize="9" orientation="portrait" verticalDpi="597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1E6C1-090A-4B5E-8487-2787976602FB}">
  <dimension ref="A1:AZ31"/>
  <sheetViews>
    <sheetView zoomScale="86" zoomScaleNormal="86" workbookViewId="0">
      <selection activeCell="Q12" sqref="Q12"/>
    </sheetView>
  </sheetViews>
  <sheetFormatPr baseColWidth="10" defaultColWidth="8.7109375" defaultRowHeight="15" x14ac:dyDescent="0.25"/>
  <cols>
    <col min="1" max="1" width="24.42578125" customWidth="1"/>
    <col min="2" max="2" width="18.42578125" customWidth="1"/>
    <col min="3" max="3" width="11.140625" customWidth="1"/>
    <col min="4" max="4" width="14.28515625" customWidth="1"/>
    <col min="5" max="5" width="12.7109375" customWidth="1"/>
    <col min="6" max="6" width="13" customWidth="1"/>
    <col min="7" max="7" width="8.85546875" customWidth="1"/>
    <col min="8" max="8" width="12" customWidth="1"/>
    <col min="9" max="9" width="9.42578125" customWidth="1"/>
    <col min="10" max="10" width="12.7109375" customWidth="1"/>
    <col min="11" max="11" width="10.5703125" customWidth="1"/>
    <col min="12" max="12" width="10.140625" customWidth="1"/>
    <col min="13" max="13" width="7.42578125" customWidth="1"/>
    <col min="14" max="14" width="10.140625" customWidth="1"/>
    <col min="15" max="15" width="12.5703125" customWidth="1"/>
    <col min="16" max="17" width="8.85546875" bestFit="1" customWidth="1"/>
  </cols>
  <sheetData>
    <row r="1" spans="1:52" ht="21" x14ac:dyDescent="0.35">
      <c r="A1" s="89" t="s">
        <v>34</v>
      </c>
      <c r="B1" s="89"/>
      <c r="C1" s="89">
        <f>C5-C2</f>
        <v>0.90686664813419249</v>
      </c>
      <c r="D1" s="89">
        <f>D4-D2</f>
        <v>1.3390140731654472</v>
      </c>
      <c r="E1" s="89">
        <f>E2-E5</f>
        <v>0</v>
      </c>
      <c r="F1" s="89">
        <f>F4-F2</f>
        <v>0</v>
      </c>
      <c r="G1" s="89">
        <f t="shared" ref="G1:O1" si="0">G4-G2</f>
        <v>-11.104813687428399</v>
      </c>
      <c r="H1" s="89">
        <f t="shared" si="0"/>
        <v>8.8718546811123438E-3</v>
      </c>
      <c r="I1" s="89">
        <f>I4-I2</f>
        <v>1.7139854382745025E-3</v>
      </c>
      <c r="J1" s="89">
        <f>J5-J2</f>
        <v>0</v>
      </c>
      <c r="K1" s="89">
        <f>K5-K2</f>
        <v>0</v>
      </c>
      <c r="L1" s="89">
        <f t="shared" si="0"/>
        <v>0.93282902610245522</v>
      </c>
      <c r="M1" s="89">
        <f t="shared" si="0"/>
        <v>2.2612196288118464E-3</v>
      </c>
      <c r="N1" s="89">
        <f t="shared" si="0"/>
        <v>-22.66599014525902</v>
      </c>
      <c r="O1" s="89">
        <f t="shared" si="0"/>
        <v>0.10882959025400381</v>
      </c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</row>
    <row r="2" spans="1:52" ht="21" x14ac:dyDescent="0.35">
      <c r="A2" s="89" t="s">
        <v>37</v>
      </c>
      <c r="B2" s="138">
        <f>100-C2-D2-E2-F2-G2-H2-I2-J2-K2-L2-M2-N2-O2</f>
        <v>62.437395659432383</v>
      </c>
      <c r="C2" s="89">
        <f>'1.0330_3'!C5</f>
        <v>0.8347245409015025</v>
      </c>
      <c r="D2" s="89">
        <f>'1.0330_3'!D5</f>
        <v>0</v>
      </c>
      <c r="E2" s="89">
        <f>'1.0330_3'!E5</f>
        <v>0</v>
      </c>
      <c r="F2" s="89">
        <f>'1.0330_3'!F5</f>
        <v>0</v>
      </c>
      <c r="G2" s="89">
        <f>'1.0330_3'!G5</f>
        <v>12.020033388981636</v>
      </c>
      <c r="H2" s="89">
        <f>'1.0330_3'!H5</f>
        <v>0</v>
      </c>
      <c r="I2" s="89">
        <f>'1.0330_3'!I5</f>
        <v>0</v>
      </c>
      <c r="J2" s="89">
        <f>'1.0330_3'!J5</f>
        <v>0</v>
      </c>
      <c r="K2" s="89">
        <f>'1.0330_3'!K5</f>
        <v>0</v>
      </c>
      <c r="L2" s="89">
        <f>'1.0330_3'!L5</f>
        <v>0.667779632721202</v>
      </c>
      <c r="M2" s="89">
        <f>'1.0330_3'!M5</f>
        <v>0</v>
      </c>
      <c r="N2" s="89">
        <f>'1.0330_3'!N5</f>
        <v>24.040066777963272</v>
      </c>
      <c r="O2" s="89">
        <f>'1.0330_3'!O5</f>
        <v>0</v>
      </c>
      <c r="P2" s="89">
        <f>'1.0330_3'!P5</f>
        <v>0</v>
      </c>
      <c r="Q2" s="89">
        <f>'1.0330_3'!Q5</f>
        <v>0</v>
      </c>
      <c r="R2" s="89">
        <f>'1.0330_3'!R5</f>
        <v>0</v>
      </c>
      <c r="S2" s="89">
        <f>'1.0330_3'!S5</f>
        <v>0</v>
      </c>
      <c r="T2" s="89">
        <f>'1.0330_3'!T5</f>
        <v>0</v>
      </c>
      <c r="U2" s="89">
        <f>'1.0330_3'!U5</f>
        <v>0</v>
      </c>
      <c r="V2" s="89">
        <f>'1.0330_3'!V5</f>
        <v>0</v>
      </c>
      <c r="W2" s="89">
        <f>'1.0330_3'!W5</f>
        <v>0</v>
      </c>
      <c r="X2" s="89">
        <f>'1.0330_3'!X5</f>
        <v>0</v>
      </c>
      <c r="Y2" s="89">
        <f>'1.0330_3'!Y5</f>
        <v>0</v>
      </c>
      <c r="Z2" s="89">
        <f>'1.0330_3'!Z5</f>
        <v>0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</row>
    <row r="3" spans="1:52" ht="21" x14ac:dyDescent="0.35">
      <c r="A3" s="89"/>
      <c r="B3" s="210" t="s">
        <v>14</v>
      </c>
      <c r="C3" s="210" t="s">
        <v>15</v>
      </c>
      <c r="D3" s="210" t="s">
        <v>8</v>
      </c>
      <c r="E3" s="210" t="s">
        <v>9</v>
      </c>
      <c r="F3" s="210" t="s">
        <v>234</v>
      </c>
      <c r="G3" s="210" t="s">
        <v>56</v>
      </c>
      <c r="H3" s="210" t="s">
        <v>57</v>
      </c>
      <c r="I3" s="210" t="s">
        <v>58</v>
      </c>
      <c r="J3" s="210" t="s">
        <v>77</v>
      </c>
      <c r="K3" s="210" t="s">
        <v>204</v>
      </c>
      <c r="L3" s="210" t="s">
        <v>16</v>
      </c>
      <c r="M3" s="210" t="s">
        <v>12</v>
      </c>
      <c r="N3" s="210" t="s">
        <v>44</v>
      </c>
      <c r="O3" s="210" t="s">
        <v>55</v>
      </c>
      <c r="P3" s="210" t="s">
        <v>17</v>
      </c>
      <c r="Q3" s="210" t="s">
        <v>80</v>
      </c>
      <c r="R3" s="210" t="s">
        <v>81</v>
      </c>
      <c r="S3" s="210" t="s">
        <v>82</v>
      </c>
      <c r="T3" s="210" t="s">
        <v>83</v>
      </c>
      <c r="U3" s="210" t="s">
        <v>45</v>
      </c>
      <c r="V3" s="210" t="s">
        <v>43</v>
      </c>
      <c r="W3" s="210" t="s">
        <v>13</v>
      </c>
      <c r="X3" s="210" t="s">
        <v>0</v>
      </c>
      <c r="Y3" s="210" t="s">
        <v>11</v>
      </c>
      <c r="Z3" s="210" t="s">
        <v>10</v>
      </c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</row>
    <row r="4" spans="1:52" ht="21" x14ac:dyDescent="0.35">
      <c r="A4" s="89" t="s">
        <v>35</v>
      </c>
      <c r="B4" s="89">
        <f>100-C4-D4-E4-F4-G4-H4-I4-J4-K4-L4-M4-N4-O4-P4-Q4-R4-S4-T4-U4-V4-W4-X4-Y4-Z4</f>
        <v>92.840162287943642</v>
      </c>
      <c r="C4" s="89">
        <f>'opt 2'!B3</f>
        <v>1.741591189035695</v>
      </c>
      <c r="D4" s="89">
        <f>'opt 2'!C3</f>
        <v>1.3390140731654472</v>
      </c>
      <c r="E4" s="89">
        <f>'opt 2'!D3</f>
        <v>0</v>
      </c>
      <c r="F4" s="89">
        <f>'opt 2'!E3</f>
        <v>0</v>
      </c>
      <c r="G4" s="89">
        <f>'opt 2'!F3</f>
        <v>0.91521970155323784</v>
      </c>
      <c r="H4" s="89">
        <f>'opt 2'!G3</f>
        <v>8.8718546811123438E-3</v>
      </c>
      <c r="I4" s="89">
        <f>'opt 2'!H3</f>
        <v>1.7139854382745025E-3</v>
      </c>
      <c r="J4" s="89">
        <f>'opt 2'!I3</f>
        <v>3.9237609914021089E-3</v>
      </c>
      <c r="K4" s="89">
        <f>'opt 2'!J3</f>
        <v>7.6261253115085933E-3</v>
      </c>
      <c r="L4" s="89">
        <f>'opt 2'!K3</f>
        <v>1.6006086588236572</v>
      </c>
      <c r="M4" s="89">
        <f>'opt 2'!L3</f>
        <v>2.2612196288118464E-3</v>
      </c>
      <c r="N4" s="89">
        <f>'opt 2'!M3</f>
        <v>1.3740766327042508</v>
      </c>
      <c r="O4" s="89">
        <f>'opt 2'!N3</f>
        <v>0.10882959025400381</v>
      </c>
      <c r="P4" s="89">
        <f>'opt 2'!O3</f>
        <v>0</v>
      </c>
      <c r="Q4" s="89">
        <f>'opt 2'!P3</f>
        <v>5.6100920468972061E-2</v>
      </c>
      <c r="R4" s="89">
        <f>'opt 2'!Q3</f>
        <v>0</v>
      </c>
      <c r="S4" s="89">
        <f>'opt 2'!R3</f>
        <v>0</v>
      </c>
      <c r="T4" s="89">
        <f>'opt 2'!S3</f>
        <v>0</v>
      </c>
      <c r="U4" s="89">
        <f>'opt 2'!T3</f>
        <v>0</v>
      </c>
      <c r="V4" s="89">
        <f>'opt 2'!U3</f>
        <v>0</v>
      </c>
      <c r="W4" s="89">
        <f>'opt 2'!V3</f>
        <v>0</v>
      </c>
      <c r="X4" s="89">
        <f>'opt 2'!W3</f>
        <v>0</v>
      </c>
      <c r="Y4" s="89">
        <f>'opt 2'!X3</f>
        <v>0</v>
      </c>
      <c r="Z4" s="89">
        <f>'opt 2'!Y3</f>
        <v>0</v>
      </c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</row>
    <row r="5" spans="1:52" ht="21" x14ac:dyDescent="0.35">
      <c r="A5" s="89" t="s">
        <v>36</v>
      </c>
      <c r="B5" s="89">
        <f>100-C5-D5-E5-F5-G5-H5-I5-J5-K5-L5-M5-N5-O5</f>
        <v>92.840162287943627</v>
      </c>
      <c r="C5" s="149">
        <f>C4</f>
        <v>1.741591189035695</v>
      </c>
      <c r="D5" s="158"/>
      <c r="E5" s="159"/>
      <c r="F5" s="159"/>
      <c r="G5" s="159">
        <f>G4+D4+E4+F4+H4+I4+J4+K4+M4+V4</f>
        <v>2.2786307207697942</v>
      </c>
      <c r="H5" s="159"/>
      <c r="I5" s="159"/>
      <c r="J5" s="149"/>
      <c r="K5" s="149"/>
      <c r="L5" s="7">
        <f>L4</f>
        <v>1.6006086588236572</v>
      </c>
      <c r="M5" s="7"/>
      <c r="N5" s="7">
        <f>N4+O4+P4+Q4+R4+S4+T4+U4+V4+W4+X4+Y4+Z4</f>
        <v>1.5390071434272266</v>
      </c>
      <c r="O5" s="7"/>
      <c r="P5" s="7"/>
      <c r="Q5" s="7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</row>
    <row r="6" spans="1:52" ht="21" x14ac:dyDescent="0.35">
      <c r="A6" s="89"/>
      <c r="B6" s="8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</row>
    <row r="7" spans="1:52" ht="21" x14ac:dyDescent="0.35">
      <c r="A7" s="89" t="s">
        <v>92</v>
      </c>
      <c r="B7" s="139">
        <f>100-C7-D7-E7-F7-G7-H7-I7-J7-K7-L7-M7-N7-O7-P7-Q7-R7-S7-T7-U7-V7-W7-X7-Y7-Z7</f>
        <v>63.965737189371922</v>
      </c>
      <c r="C7" s="156">
        <f>C2</f>
        <v>0.8347245409015025</v>
      </c>
      <c r="D7" s="156"/>
      <c r="E7" s="156"/>
      <c r="F7" s="156"/>
      <c r="G7" s="156">
        <f>G2-D4-E4-F4-H4-I4-J4-K4-M4-V4</f>
        <v>10.656622369765079</v>
      </c>
      <c r="H7" s="156"/>
      <c r="I7" s="156"/>
      <c r="J7" s="156"/>
      <c r="K7" s="156"/>
      <c r="L7" s="156">
        <f>L2</f>
        <v>0.667779632721202</v>
      </c>
      <c r="M7" s="156">
        <f>M2</f>
        <v>0</v>
      </c>
      <c r="N7" s="156">
        <f>N2-O4-P4-Q4-R4-S4-T4-U4-V4-W4-X4-Y4-Z4</f>
        <v>23.875136267240297</v>
      </c>
      <c r="O7" s="156"/>
      <c r="P7" s="156"/>
      <c r="Q7" s="156"/>
      <c r="R7" s="177"/>
      <c r="S7" s="177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</row>
    <row r="8" spans="1:52" ht="21" x14ac:dyDescent="0.35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</row>
    <row r="9" spans="1:52" ht="21" x14ac:dyDescent="0.35">
      <c r="A9" s="89"/>
      <c r="B9" s="89"/>
      <c r="C9" s="89"/>
      <c r="D9" s="89"/>
      <c r="E9" s="89"/>
      <c r="F9" s="89" t="s">
        <v>7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</row>
    <row r="10" spans="1:52" ht="21" x14ac:dyDescent="0.35">
      <c r="A10" s="89" t="s">
        <v>32</v>
      </c>
      <c r="B10" s="180"/>
      <c r="C10" s="180"/>
      <c r="D10" s="89"/>
      <c r="E10" s="180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</row>
    <row r="11" spans="1:52" ht="21" x14ac:dyDescent="0.35">
      <c r="A11" s="89" t="s">
        <v>33</v>
      </c>
      <c r="B11" s="181"/>
      <c r="C11" s="181"/>
      <c r="D11" s="89"/>
      <c r="E11" s="181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</row>
    <row r="12" spans="1:52" ht="21" x14ac:dyDescent="0.35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</row>
    <row r="13" spans="1:52" ht="21" x14ac:dyDescent="0.35">
      <c r="A13" s="89"/>
      <c r="B13" s="89" t="s">
        <v>14</v>
      </c>
      <c r="C13" s="180" t="s">
        <v>56</v>
      </c>
      <c r="D13" s="180" t="s">
        <v>15</v>
      </c>
      <c r="E13" s="181" t="s">
        <v>8</v>
      </c>
      <c r="F13" s="180" t="s">
        <v>9</v>
      </c>
      <c r="G13" s="180" t="s">
        <v>57</v>
      </c>
      <c r="H13" s="181" t="s">
        <v>58</v>
      </c>
      <c r="I13" s="180" t="s">
        <v>77</v>
      </c>
      <c r="J13" s="181" t="s">
        <v>13</v>
      </c>
      <c r="K13" s="180" t="s">
        <v>16</v>
      </c>
      <c r="L13" s="180" t="s">
        <v>55</v>
      </c>
      <c r="M13" s="181" t="s">
        <v>44</v>
      </c>
      <c r="N13" s="181" t="s">
        <v>10</v>
      </c>
      <c r="O13" s="180" t="s">
        <v>12</v>
      </c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</row>
    <row r="14" spans="1:52" ht="21" x14ac:dyDescent="0.35">
      <c r="A14" s="89" t="s">
        <v>39</v>
      </c>
      <c r="B14" s="89">
        <f>100-(C14+D14+E14+F14+G14+H14+I14+J14+K14+L14+M14+N14+O14)</f>
        <v>95.086043009243269</v>
      </c>
      <c r="C14" s="89">
        <f>C5-C1</f>
        <v>0.8347245409015025</v>
      </c>
      <c r="D14" s="89">
        <f>D5-D1</f>
        <v>-1.3390140731654472</v>
      </c>
      <c r="E14" s="89">
        <f t="shared" ref="E14:I14" si="1">E5</f>
        <v>0</v>
      </c>
      <c r="F14" s="89">
        <f t="shared" si="1"/>
        <v>0</v>
      </c>
      <c r="G14" s="89">
        <f t="shared" si="1"/>
        <v>2.2786307207697942</v>
      </c>
      <c r="H14" s="89">
        <f t="shared" si="1"/>
        <v>0</v>
      </c>
      <c r="I14" s="89">
        <f t="shared" si="1"/>
        <v>0</v>
      </c>
      <c r="J14" s="89">
        <f>J5-J1</f>
        <v>0</v>
      </c>
      <c r="K14" s="89">
        <f>K5-K1</f>
        <v>0</v>
      </c>
      <c r="L14" s="89">
        <f t="shared" ref="L14:O14" si="2">L5</f>
        <v>1.6006086588236572</v>
      </c>
      <c r="M14" s="89">
        <f t="shared" si="2"/>
        <v>0</v>
      </c>
      <c r="N14" s="89">
        <f t="shared" si="2"/>
        <v>1.5390071434272266</v>
      </c>
      <c r="O14" s="89">
        <f t="shared" si="2"/>
        <v>0</v>
      </c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</row>
    <row r="15" spans="1:52" ht="21" x14ac:dyDescent="0.3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</row>
    <row r="16" spans="1:52" ht="21" x14ac:dyDescent="0.3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</row>
    <row r="17" spans="1:52" ht="21" x14ac:dyDescent="0.35">
      <c r="A17" s="89"/>
      <c r="B17" s="210" t="s">
        <v>14</v>
      </c>
      <c r="C17" s="210" t="s">
        <v>15</v>
      </c>
      <c r="D17" s="210" t="s">
        <v>8</v>
      </c>
      <c r="E17" s="210" t="s">
        <v>9</v>
      </c>
      <c r="F17" s="210" t="s">
        <v>234</v>
      </c>
      <c r="G17" s="210" t="s">
        <v>56</v>
      </c>
      <c r="H17" s="210" t="s">
        <v>57</v>
      </c>
      <c r="I17" s="210" t="s">
        <v>58</v>
      </c>
      <c r="J17" s="210" t="s">
        <v>77</v>
      </c>
      <c r="K17" s="210" t="s">
        <v>204</v>
      </c>
      <c r="L17" s="210" t="s">
        <v>16</v>
      </c>
      <c r="M17" s="210" t="s">
        <v>12</v>
      </c>
      <c r="N17" s="210" t="s">
        <v>44</v>
      </c>
      <c r="O17" s="210" t="s">
        <v>55</v>
      </c>
      <c r="P17" s="210" t="s">
        <v>17</v>
      </c>
      <c r="Q17" s="210" t="s">
        <v>80</v>
      </c>
      <c r="R17" s="210" t="s">
        <v>81</v>
      </c>
      <c r="S17" s="210" t="s">
        <v>82</v>
      </c>
      <c r="T17" s="210" t="s">
        <v>83</v>
      </c>
      <c r="U17" s="210" t="s">
        <v>45</v>
      </c>
      <c r="V17" s="210" t="s">
        <v>43</v>
      </c>
      <c r="W17" s="210" t="s">
        <v>13</v>
      </c>
      <c r="X17" s="210" t="s">
        <v>0</v>
      </c>
      <c r="Y17" s="210" t="s">
        <v>11</v>
      </c>
      <c r="Z17" s="210" t="s">
        <v>10</v>
      </c>
      <c r="AA17" s="211" t="s">
        <v>14</v>
      </c>
      <c r="AB17" s="212" t="s">
        <v>15</v>
      </c>
      <c r="AC17" s="213" t="s">
        <v>8</v>
      </c>
      <c r="AD17" s="214" t="s">
        <v>9</v>
      </c>
      <c r="AE17" s="213" t="s">
        <v>234</v>
      </c>
      <c r="AF17" s="213" t="s">
        <v>56</v>
      </c>
      <c r="AG17" s="214" t="s">
        <v>57</v>
      </c>
      <c r="AH17" s="213" t="s">
        <v>58</v>
      </c>
      <c r="AI17" s="215" t="s">
        <v>77</v>
      </c>
      <c r="AJ17" s="216" t="s">
        <v>204</v>
      </c>
      <c r="AK17" s="216" t="s">
        <v>16</v>
      </c>
      <c r="AL17" s="215" t="s">
        <v>12</v>
      </c>
      <c r="AM17" s="215" t="s">
        <v>44</v>
      </c>
      <c r="AN17" s="216" t="s">
        <v>55</v>
      </c>
      <c r="AO17" s="210" t="s">
        <v>17</v>
      </c>
      <c r="AP17" s="210" t="s">
        <v>80</v>
      </c>
      <c r="AQ17" s="210" t="s">
        <v>81</v>
      </c>
      <c r="AR17" s="210" t="s">
        <v>82</v>
      </c>
      <c r="AS17" s="210" t="s">
        <v>83</v>
      </c>
      <c r="AT17" s="210" t="s">
        <v>45</v>
      </c>
      <c r="AU17" s="210" t="s">
        <v>43</v>
      </c>
      <c r="AV17" s="210" t="s">
        <v>13</v>
      </c>
      <c r="AW17" s="210" t="s">
        <v>0</v>
      </c>
      <c r="AX17" s="210" t="s">
        <v>11</v>
      </c>
      <c r="AY17" s="210" t="s">
        <v>10</v>
      </c>
      <c r="AZ17" s="89"/>
    </row>
    <row r="18" spans="1:52" ht="21" x14ac:dyDescent="0.35">
      <c r="A18" s="89"/>
      <c r="B18" s="217">
        <f>100-C18-D18-E18-F18-G18-H18-I18-J18-K18-L18-M18-N18-O18-P18-Q18-R18-S18-T18-U18-V18-W18-X18-Y18-Z18</f>
        <v>62.548486469315215</v>
      </c>
      <c r="C18" s="218">
        <f>C7</f>
        <v>0.8347245409015025</v>
      </c>
      <c r="D18" s="218">
        <f t="shared" ref="D18:Z18" si="3">D4</f>
        <v>1.3390140731654472</v>
      </c>
      <c r="E18" s="218">
        <f t="shared" si="3"/>
        <v>0</v>
      </c>
      <c r="F18" s="218">
        <f t="shared" si="3"/>
        <v>0</v>
      </c>
      <c r="G18" s="218">
        <f>G7</f>
        <v>10.656622369765079</v>
      </c>
      <c r="H18" s="218">
        <f t="shared" si="3"/>
        <v>8.8718546811123438E-3</v>
      </c>
      <c r="I18" s="218">
        <f t="shared" si="3"/>
        <v>1.7139854382745025E-3</v>
      </c>
      <c r="J18" s="218">
        <f t="shared" si="3"/>
        <v>3.9237609914021089E-3</v>
      </c>
      <c r="K18" s="218">
        <f t="shared" si="3"/>
        <v>7.6261253115085933E-3</v>
      </c>
      <c r="L18" s="218">
        <f>L7</f>
        <v>0.667779632721202</v>
      </c>
      <c r="M18" s="218">
        <f>M7</f>
        <v>0</v>
      </c>
      <c r="N18" s="218">
        <f>N7</f>
        <v>23.875136267240297</v>
      </c>
      <c r="O18" s="218">
        <f>O5</f>
        <v>0</v>
      </c>
      <c r="P18" s="218">
        <f t="shared" si="3"/>
        <v>0</v>
      </c>
      <c r="Q18" s="218">
        <f t="shared" si="3"/>
        <v>5.6100920468972061E-2</v>
      </c>
      <c r="R18" s="218">
        <f t="shared" si="3"/>
        <v>0</v>
      </c>
      <c r="S18" s="218">
        <f t="shared" si="3"/>
        <v>0</v>
      </c>
      <c r="T18" s="218">
        <f t="shared" si="3"/>
        <v>0</v>
      </c>
      <c r="U18" s="218">
        <f t="shared" si="3"/>
        <v>0</v>
      </c>
      <c r="V18" s="218">
        <f t="shared" si="3"/>
        <v>0</v>
      </c>
      <c r="W18" s="218">
        <f t="shared" si="3"/>
        <v>0</v>
      </c>
      <c r="X18" s="218">
        <f t="shared" si="3"/>
        <v>0</v>
      </c>
      <c r="Y18" s="218">
        <f t="shared" si="3"/>
        <v>0</v>
      </c>
      <c r="Z18" s="218">
        <f t="shared" si="3"/>
        <v>0</v>
      </c>
      <c r="AA18" s="219">
        <v>55.84</v>
      </c>
      <c r="AB18" s="219">
        <v>28.0855</v>
      </c>
      <c r="AC18" s="219">
        <v>58.693399999999997</v>
      </c>
      <c r="AD18" s="219">
        <v>63.545999999999999</v>
      </c>
      <c r="AE18" s="219">
        <v>65.38</v>
      </c>
      <c r="AF18" s="219">
        <v>12.01</v>
      </c>
      <c r="AG18" s="219">
        <v>30.973762000000001</v>
      </c>
      <c r="AH18" s="219">
        <v>32.064999999999998</v>
      </c>
      <c r="AI18" s="219">
        <v>14.0067</v>
      </c>
      <c r="AJ18" s="219">
        <v>10.81</v>
      </c>
      <c r="AK18" s="219">
        <v>54.938043999999998</v>
      </c>
      <c r="AL18" s="219">
        <v>26.981539999999999</v>
      </c>
      <c r="AM18" s="219">
        <v>51.996099999999998</v>
      </c>
      <c r="AN18" s="219">
        <v>95.95</v>
      </c>
      <c r="AO18" s="220">
        <v>47.866999999999997</v>
      </c>
      <c r="AP18" s="220">
        <v>50.941499999999998</v>
      </c>
      <c r="AQ18" s="220">
        <v>92.906369999999995</v>
      </c>
      <c r="AR18" s="220">
        <v>183.84</v>
      </c>
      <c r="AS18" s="220">
        <v>180.94788</v>
      </c>
      <c r="AT18" s="220">
        <v>91.224000000000004</v>
      </c>
      <c r="AU18" s="220">
        <v>58.933194999999998</v>
      </c>
      <c r="AV18" s="220">
        <v>24.305</v>
      </c>
      <c r="AW18" s="219">
        <v>121.76</v>
      </c>
      <c r="AX18" s="219">
        <v>207.2</v>
      </c>
      <c r="AY18" s="219">
        <v>118.71</v>
      </c>
      <c r="AZ18" s="89"/>
    </row>
    <row r="19" spans="1:52" ht="21" x14ac:dyDescent="0.35">
      <c r="A19" s="89"/>
      <c r="B19" s="217">
        <f>100*((((B18)*(AA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69.796163600599144</v>
      </c>
      <c r="C19" s="217">
        <f>100*((((C18)*(AB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0.46848390922626276</v>
      </c>
      <c r="D19" s="217">
        <f>100*((((D18)*(AC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1.5705209958947692</v>
      </c>
      <c r="E19" s="217">
        <f>100*((((E18)*(AD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F19" s="217">
        <f>100*((((F18)*(AE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G19" s="217">
        <f>100*((((G18)*(AF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2.5575958632556675</v>
      </c>
      <c r="H19" s="217">
        <f>100*((((H18)*(AG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5.4913321534782143E-3</v>
      </c>
      <c r="I19" s="217">
        <f>100*((((I18)*(AH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1.0982664306956429E-3</v>
      </c>
      <c r="J19" s="217">
        <f>100*((((J18)*(AI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1.0982664306956429E-3</v>
      </c>
      <c r="K19" s="217">
        <f>100*((((K18)*(AJ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1.6473996460434645E-3</v>
      </c>
      <c r="L19" s="217">
        <f>100*((((L18)*(AK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0.73312106584150327</v>
      </c>
      <c r="M19" s="217">
        <f>100*((((M18)*(AL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N19" s="217">
        <f>100*((((N18)*(AM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24.807669446125548</v>
      </c>
      <c r="O19" s="217">
        <f>100*((((O18)*(AN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P19" s="217">
        <f>100*((((P18)*(AO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Q19" s="217">
        <f>100*((((Q18)*(AP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5.7109854396173429E-2</v>
      </c>
      <c r="R19" s="217">
        <f>100*((((R18)*(AQ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S19" s="217">
        <f>100*((((S18)*(AR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T19" s="217">
        <f>100*((((T18)*(AS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U19" s="217">
        <f>100*((((U18)*(AT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V19" s="217">
        <f>100*((((V18)*(AU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W19" s="217">
        <f>100*((((W18)*(AV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X19" s="219">
        <f>100*((((X18)*(AW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Y19" s="219">
        <f>100*((((Y18)*(AX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Z19" s="219">
        <f>100*((((Z18)*(AY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89"/>
    </row>
    <row r="20" spans="1:52" ht="21" x14ac:dyDescent="0.35">
      <c r="A20" s="89"/>
      <c r="B20" s="89"/>
      <c r="C20" s="89"/>
      <c r="D20" s="89"/>
      <c r="E20" s="89">
        <f>E19/'opt 2'!G6</f>
        <v>0</v>
      </c>
      <c r="F20" s="89">
        <f>F19/'opt 2'!G6</f>
        <v>0</v>
      </c>
      <c r="G20" s="89">
        <f>G19/'opt 2'!G6</f>
        <v>1.1868250123509096</v>
      </c>
      <c r="H20" s="89">
        <f>H19/'opt 2'!G6</f>
        <v>2.5481939678220532E-3</v>
      </c>
      <c r="I20" s="89">
        <f>I19/'opt 2'!G6</f>
        <v>5.0963879356441066E-4</v>
      </c>
      <c r="J20" s="89"/>
      <c r="K20" s="89"/>
      <c r="L20" s="89">
        <f>L19/'opt 2'!G6</f>
        <v>0.34019699144902665</v>
      </c>
      <c r="M20" s="89">
        <f>M19/'opt 2'!G6</f>
        <v>0</v>
      </c>
      <c r="N20" s="89">
        <f>N19/'opt 2'!G6</f>
        <v>11.511733741747948</v>
      </c>
      <c r="O20" s="89">
        <f>O19/'opt 2'!G6</f>
        <v>0</v>
      </c>
      <c r="P20" s="89">
        <f>P19/'opt 2'!G6</f>
        <v>0</v>
      </c>
      <c r="Q20" s="89">
        <f>Q19/'opt 2'!G6</f>
        <v>2.6501217265349354E-2</v>
      </c>
      <c r="R20" s="89">
        <f>R19/'opt 2'!G6</f>
        <v>0</v>
      </c>
      <c r="S20" s="89">
        <f>S19/'opt 2'!G6</f>
        <v>0</v>
      </c>
      <c r="T20" s="89">
        <f>T19/'opt 2'!G6</f>
        <v>0</v>
      </c>
      <c r="U20" s="89">
        <f>U19/'opt 2'!G6</f>
        <v>0</v>
      </c>
      <c r="V20" s="89">
        <f>V19/'opt 2'!G6</f>
        <v>0</v>
      </c>
      <c r="W20" s="89">
        <f>W19/'opt 2'!G6</f>
        <v>0</v>
      </c>
      <c r="X20" s="89">
        <f>X19/'opt 2'!G6</f>
        <v>0</v>
      </c>
      <c r="Y20" s="89">
        <f>Y19/'opt 2'!G6</f>
        <v>0</v>
      </c>
      <c r="Z20" s="89">
        <f>Z19/'opt 2'!G6</f>
        <v>0</v>
      </c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</row>
    <row r="21" spans="1:52" ht="21" x14ac:dyDescent="0.3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</row>
    <row r="22" spans="1:52" ht="21" x14ac:dyDescent="0.3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</row>
    <row r="23" spans="1:52" ht="21" x14ac:dyDescent="0.3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</row>
    <row r="24" spans="1:52" ht="21" x14ac:dyDescent="0.3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</row>
    <row r="25" spans="1:52" ht="21" x14ac:dyDescent="0.3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</row>
    <row r="26" spans="1:52" ht="21" x14ac:dyDescent="0.35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</row>
    <row r="27" spans="1:52" ht="21" x14ac:dyDescent="0.35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</row>
    <row r="28" spans="1:52" ht="21" x14ac:dyDescent="0.35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</row>
    <row r="29" spans="1:52" ht="21" x14ac:dyDescent="0.35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</row>
    <row r="30" spans="1:52" ht="21" x14ac:dyDescent="0.35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</row>
    <row r="31" spans="1:52" ht="21" x14ac:dyDescent="0.35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</row>
  </sheetData>
  <pageMargins left="0.7" right="0.7" top="0.75" bottom="0.75" header="0.3" footer="0.3"/>
  <pageSetup paperSize="9" orientation="portrait" verticalDpi="597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D01C-520D-4435-B941-2A9BDB6EF85A}">
  <dimension ref="A1:AX4"/>
  <sheetViews>
    <sheetView topLeftCell="F1" workbookViewId="0">
      <selection activeCell="T19" sqref="T19"/>
    </sheetView>
  </sheetViews>
  <sheetFormatPr baseColWidth="10" defaultRowHeight="15" x14ac:dyDescent="0.25"/>
  <cols>
    <col min="2" max="2" width="14.42578125" customWidth="1"/>
    <col min="3" max="3" width="16.28515625" customWidth="1"/>
  </cols>
  <sheetData>
    <row r="1" spans="1:50" ht="18" x14ac:dyDescent="0.25">
      <c r="A1" s="210" t="s">
        <v>14</v>
      </c>
      <c r="B1" s="210" t="s">
        <v>15</v>
      </c>
      <c r="C1" s="210" t="s">
        <v>8</v>
      </c>
      <c r="D1" s="210" t="s">
        <v>9</v>
      </c>
      <c r="E1" s="210" t="s">
        <v>234</v>
      </c>
      <c r="F1" s="210" t="s">
        <v>56</v>
      </c>
      <c r="G1" s="210" t="s">
        <v>57</v>
      </c>
      <c r="H1" s="210" t="s">
        <v>58</v>
      </c>
      <c r="I1" s="210" t="s">
        <v>77</v>
      </c>
      <c r="J1" s="210" t="s">
        <v>204</v>
      </c>
      <c r="K1" s="210" t="s">
        <v>16</v>
      </c>
      <c r="L1" s="210" t="s">
        <v>12</v>
      </c>
      <c r="M1" s="210" t="s">
        <v>44</v>
      </c>
      <c r="N1" s="210" t="s">
        <v>55</v>
      </c>
      <c r="O1" s="210" t="s">
        <v>17</v>
      </c>
      <c r="P1" s="210" t="s">
        <v>80</v>
      </c>
      <c r="Q1" s="210" t="s">
        <v>81</v>
      </c>
      <c r="R1" s="210" t="s">
        <v>82</v>
      </c>
      <c r="S1" s="210" t="s">
        <v>83</v>
      </c>
      <c r="T1" s="210" t="s">
        <v>45</v>
      </c>
      <c r="U1" s="210" t="s">
        <v>43</v>
      </c>
      <c r="V1" s="210" t="s">
        <v>13</v>
      </c>
      <c r="W1" s="210" t="s">
        <v>0</v>
      </c>
      <c r="X1" s="210" t="s">
        <v>11</v>
      </c>
      <c r="Y1" s="210" t="s">
        <v>10</v>
      </c>
      <c r="Z1" s="210" t="s">
        <v>14</v>
      </c>
      <c r="AA1" s="210" t="s">
        <v>15</v>
      </c>
      <c r="AB1" s="210" t="s">
        <v>8</v>
      </c>
      <c r="AC1" s="210" t="s">
        <v>9</v>
      </c>
      <c r="AD1" s="210" t="s">
        <v>234</v>
      </c>
      <c r="AE1" s="210" t="s">
        <v>56</v>
      </c>
      <c r="AF1" s="210" t="s">
        <v>57</v>
      </c>
      <c r="AG1" s="210" t="s">
        <v>58</v>
      </c>
      <c r="AH1" s="210" t="s">
        <v>77</v>
      </c>
      <c r="AI1" s="210" t="s">
        <v>204</v>
      </c>
      <c r="AJ1" s="210" t="s">
        <v>16</v>
      </c>
      <c r="AK1" s="210" t="s">
        <v>12</v>
      </c>
      <c r="AL1" s="210" t="s">
        <v>44</v>
      </c>
      <c r="AM1" s="210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13</v>
      </c>
      <c r="AV1" s="210" t="s">
        <v>0</v>
      </c>
      <c r="AW1" s="210" t="s">
        <v>11</v>
      </c>
      <c r="AX1" s="210" t="s">
        <v>10</v>
      </c>
    </row>
    <row r="2" spans="1:50" ht="23.25" x14ac:dyDescent="0.35">
      <c r="A2" s="36">
        <f>100-B2-C2-D2-E2-F2-G2-H2-I2-J2-K2-L2-M2-N2-O2-P2-Q2-R2-S2-T2-U2-V2-W2-X2-Y2</f>
        <v>62.437395659432383</v>
      </c>
      <c r="B2" s="71">
        <f>'1.0330_3'!C5</f>
        <v>0.8347245409015025</v>
      </c>
      <c r="C2" s="71">
        <f>'1.0330_3'!D5</f>
        <v>0</v>
      </c>
      <c r="D2" s="71">
        <f>'1.0330_3'!E5</f>
        <v>0</v>
      </c>
      <c r="E2" s="71">
        <f>'1.0330_3'!F5</f>
        <v>0</v>
      </c>
      <c r="F2" s="71">
        <f>'1.0330_3'!G5</f>
        <v>12.020033388981636</v>
      </c>
      <c r="G2" s="71">
        <f>'1.0330_3'!H5</f>
        <v>0</v>
      </c>
      <c r="H2" s="71">
        <f>'1.0330_3'!I5</f>
        <v>0</v>
      </c>
      <c r="I2" s="71">
        <f>'1.0330_3'!J5</f>
        <v>0</v>
      </c>
      <c r="J2" s="71">
        <f>'1.0330_3'!K5</f>
        <v>0</v>
      </c>
      <c r="K2" s="71">
        <f>'1.0330_3'!L5</f>
        <v>0.667779632721202</v>
      </c>
      <c r="L2" s="71">
        <f>'1.0330_3'!M5</f>
        <v>0</v>
      </c>
      <c r="M2" s="71">
        <f>'1.0330_3'!N5</f>
        <v>24.040066777963272</v>
      </c>
      <c r="N2" s="71">
        <f>'1.0330_3'!O5</f>
        <v>0</v>
      </c>
      <c r="O2" s="71">
        <f>'1.0330_3'!P5</f>
        <v>0</v>
      </c>
      <c r="P2" s="71">
        <f>'1.0330_3'!Q5</f>
        <v>0</v>
      </c>
      <c r="Q2" s="71">
        <f>'1.0330_3'!R5</f>
        <v>0</v>
      </c>
      <c r="R2" s="71">
        <f>'1.0330_3'!S5</f>
        <v>0</v>
      </c>
      <c r="S2" s="71">
        <f>'1.0330_3'!T5</f>
        <v>0</v>
      </c>
      <c r="T2" s="71">
        <f>'1.0330_3'!U5</f>
        <v>0</v>
      </c>
      <c r="U2" s="71">
        <f>'1.0330_3'!V5</f>
        <v>0</v>
      </c>
      <c r="V2" s="71">
        <f>'1.0330_3'!W5</f>
        <v>0</v>
      </c>
      <c r="W2" s="71">
        <f>'1.0330_3'!X5</f>
        <v>0</v>
      </c>
      <c r="X2" s="71">
        <f>'1.0330_3'!Y5</f>
        <v>0</v>
      </c>
      <c r="Y2" s="71">
        <f>'1.0330_3'!Z5</f>
        <v>0</v>
      </c>
      <c r="Z2" s="68">
        <v>55.84</v>
      </c>
      <c r="AA2" s="7">
        <v>28.0855</v>
      </c>
      <c r="AB2" s="7">
        <v>58.693399999999997</v>
      </c>
      <c r="AC2" s="7">
        <v>63.545999999999999</v>
      </c>
      <c r="AD2" s="7">
        <v>65.38</v>
      </c>
      <c r="AE2" s="7">
        <v>12.01</v>
      </c>
      <c r="AF2" s="7">
        <v>30.973762000000001</v>
      </c>
      <c r="AG2" s="7">
        <v>32.064999999999998</v>
      </c>
      <c r="AH2" s="7">
        <v>14.0067</v>
      </c>
      <c r="AI2" s="7">
        <v>10.81</v>
      </c>
      <c r="AJ2" s="7">
        <v>54.938043999999998</v>
      </c>
      <c r="AK2" s="7">
        <v>26.981539999999999</v>
      </c>
      <c r="AL2" s="7">
        <v>51.996099999999998</v>
      </c>
      <c r="AM2" s="7">
        <v>95.95</v>
      </c>
      <c r="AN2">
        <v>47.866999999999997</v>
      </c>
      <c r="AO2">
        <v>50.941499999999998</v>
      </c>
      <c r="AP2">
        <v>92.906369999999995</v>
      </c>
      <c r="AQ2">
        <v>183.84</v>
      </c>
      <c r="AR2">
        <v>180.94788</v>
      </c>
      <c r="AS2">
        <v>91.224000000000004</v>
      </c>
      <c r="AT2">
        <v>58.933194999999998</v>
      </c>
      <c r="AU2">
        <v>24.305</v>
      </c>
      <c r="AV2" s="7">
        <v>121.76</v>
      </c>
      <c r="AW2" s="7">
        <v>207.2</v>
      </c>
      <c r="AX2" s="7">
        <v>118.71</v>
      </c>
    </row>
    <row r="3" spans="1:50" ht="18.75" x14ac:dyDescent="0.3">
      <c r="A3" s="36">
        <f>100*((((A2)*(Z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70.562942772392063</v>
      </c>
      <c r="B3" s="36">
        <f>100*((((B2)*(AA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0.47447336383987132</v>
      </c>
      <c r="C3" s="36">
        <f>100*((((C2)*(AB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D3" s="36">
        <f>100*((((D2)*(AC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E3" s="36">
        <f>100*((((E2)*(AD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F3" s="36">
        <f>100*((((F2)*(AE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2.9216970121921522</v>
      </c>
      <c r="G3" s="36">
        <f>100*((((G2)*(AF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H3" s="36">
        <f>100*((((H2)*(AG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I3" s="36">
        <f>100*((((I2)*(AH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J3" s="36">
        <f>100*((((J2)*(AI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K3" s="36">
        <f>100*((((K2)*(AJ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0.7424938431422009</v>
      </c>
      <c r="L3" s="36">
        <f>100*((((L2)*(AK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M3" s="36">
        <f>100*((((M2)*(AL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25.298393008433699</v>
      </c>
      <c r="N3" s="36">
        <f>100*((((N2)*(AM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W2))+((X2)/(AW2))+((Y2)/(AX2)))))</f>
        <v>0</v>
      </c>
      <c r="P3" s="36">
        <f>100*((((P2)*(AO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Q3" s="36">
        <f>100*((((Q2)*(AP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R3" s="36">
        <f>100*((((R2)*(AQ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S3" s="36">
        <f>100*((((S2)*(AR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T3" s="36">
        <f>100*((((T2)*(AS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U3" s="36">
        <f>100*((((U2)*(AT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V3" s="36">
        <f>100*((((V2)*(AU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W3" s="7">
        <f>100*((((W2)*(AV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X3" s="7">
        <f>100*((((X2)*(AW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Y3" s="7">
        <f>100*((((Y2)*(AX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Z3" s="68">
        <v>55.84</v>
      </c>
      <c r="AA3" s="7">
        <v>95.94</v>
      </c>
      <c r="AB3" s="7">
        <v>183.85</v>
      </c>
      <c r="AC3" s="7">
        <v>58.933199999999999</v>
      </c>
      <c r="AD3" s="7">
        <v>63.54</v>
      </c>
      <c r="AE3" s="7">
        <v>12.01</v>
      </c>
      <c r="AF3" s="7">
        <v>28.085000000000001</v>
      </c>
      <c r="AG3" s="7">
        <v>47.88</v>
      </c>
      <c r="AH3" s="7">
        <v>58.692999999999998</v>
      </c>
      <c r="AI3" s="7">
        <v>51.99</v>
      </c>
      <c r="AJ3" s="7">
        <v>54.93</v>
      </c>
      <c r="AK3" s="7">
        <v>92.9</v>
      </c>
      <c r="AL3" s="7">
        <v>14.0067</v>
      </c>
      <c r="AM3" s="7">
        <v>26.981539999999999</v>
      </c>
    </row>
    <row r="4" spans="1:50" ht="15.75" x14ac:dyDescent="0.25">
      <c r="A4" s="8"/>
      <c r="B4" s="9"/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E98DC-6A14-42A6-A6D7-2B1A3D659BB5}">
  <dimension ref="A1:AX5"/>
  <sheetViews>
    <sheetView zoomScale="86" zoomScaleNormal="86" workbookViewId="0">
      <selection activeCell="Z2" sqref="Z2:AX2"/>
    </sheetView>
  </sheetViews>
  <sheetFormatPr baseColWidth="10" defaultRowHeight="15" x14ac:dyDescent="0.25"/>
  <cols>
    <col min="2" max="2" width="12" customWidth="1"/>
    <col min="4" max="4" width="10.42578125" customWidth="1"/>
    <col min="5" max="5" width="9" customWidth="1"/>
    <col min="6" max="6" width="9.7109375" customWidth="1"/>
    <col min="7" max="7" width="7.28515625" customWidth="1"/>
    <col min="8" max="8" width="10.85546875" customWidth="1"/>
    <col min="9" max="9" width="15" customWidth="1"/>
    <col min="10" max="10" width="12.5703125" customWidth="1"/>
    <col min="11" max="11" width="10.140625" customWidth="1"/>
    <col min="12" max="12" width="7.28515625" customWidth="1"/>
    <col min="13" max="14" width="6.85546875" customWidth="1"/>
  </cols>
  <sheetData>
    <row r="1" spans="1:50" ht="18" x14ac:dyDescent="0.25">
      <c r="A1" s="210" t="s">
        <v>14</v>
      </c>
      <c r="B1" s="210" t="s">
        <v>15</v>
      </c>
      <c r="C1" s="210" t="s">
        <v>8</v>
      </c>
      <c r="D1" s="210" t="s">
        <v>9</v>
      </c>
      <c r="E1" s="210" t="s">
        <v>234</v>
      </c>
      <c r="F1" s="210" t="s">
        <v>56</v>
      </c>
      <c r="G1" s="210" t="s">
        <v>57</v>
      </c>
      <c r="H1" s="210" t="s">
        <v>58</v>
      </c>
      <c r="I1" s="210" t="s">
        <v>77</v>
      </c>
      <c r="J1" s="210" t="s">
        <v>204</v>
      </c>
      <c r="K1" s="210" t="s">
        <v>16</v>
      </c>
      <c r="L1" s="210" t="s">
        <v>12</v>
      </c>
      <c r="M1" s="210" t="s">
        <v>44</v>
      </c>
      <c r="N1" s="210" t="s">
        <v>55</v>
      </c>
      <c r="O1" s="210" t="s">
        <v>17</v>
      </c>
      <c r="P1" s="210" t="s">
        <v>80</v>
      </c>
      <c r="Q1" s="210" t="s">
        <v>81</v>
      </c>
      <c r="R1" s="210" t="s">
        <v>82</v>
      </c>
      <c r="S1" s="210" t="s">
        <v>83</v>
      </c>
      <c r="T1" s="210" t="s">
        <v>45</v>
      </c>
      <c r="U1" s="210" t="s">
        <v>43</v>
      </c>
      <c r="V1" s="210" t="s">
        <v>13</v>
      </c>
      <c r="W1" s="210" t="s">
        <v>0</v>
      </c>
      <c r="X1" s="210" t="s">
        <v>11</v>
      </c>
      <c r="Y1" s="210" t="s">
        <v>10</v>
      </c>
      <c r="Z1" s="210" t="s">
        <v>14</v>
      </c>
      <c r="AA1" s="210" t="s">
        <v>15</v>
      </c>
      <c r="AB1" s="210" t="s">
        <v>8</v>
      </c>
      <c r="AC1" s="210" t="s">
        <v>9</v>
      </c>
      <c r="AD1" s="210" t="s">
        <v>234</v>
      </c>
      <c r="AE1" s="210" t="s">
        <v>56</v>
      </c>
      <c r="AF1" s="210" t="s">
        <v>57</v>
      </c>
      <c r="AG1" s="210" t="s">
        <v>58</v>
      </c>
      <c r="AH1" s="210" t="s">
        <v>77</v>
      </c>
      <c r="AI1" s="210" t="s">
        <v>204</v>
      </c>
      <c r="AJ1" s="210" t="s">
        <v>16</v>
      </c>
      <c r="AK1" s="210" t="s">
        <v>12</v>
      </c>
      <c r="AL1" s="210" t="s">
        <v>44</v>
      </c>
      <c r="AM1" s="210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13</v>
      </c>
      <c r="AV1" s="210" t="s">
        <v>0</v>
      </c>
      <c r="AW1" s="210" t="s">
        <v>11</v>
      </c>
      <c r="AX1" s="210" t="s">
        <v>10</v>
      </c>
    </row>
    <row r="2" spans="1:50" ht="18.75" x14ac:dyDescent="0.3">
      <c r="A2" s="36">
        <f>100-B2-C2-D2-E2-F2-G2-H2-I2-J2-K2-L2-M2-N2-O2-P2-Q2-R2-S2-T2-U2-V2-W2-X2-Y2</f>
        <v>92.840162287943627</v>
      </c>
      <c r="B2" s="37">
        <f>'Tab1EQ opt2_2'!C5</f>
        <v>1.741591189035695</v>
      </c>
      <c r="C2" s="37">
        <f>'Tab1EQ opt2_2'!D5</f>
        <v>0</v>
      </c>
      <c r="D2" s="37">
        <f>'Tab1EQ opt2_2'!E5</f>
        <v>0</v>
      </c>
      <c r="E2" s="37">
        <f>'Tab1EQ opt2_2'!F5</f>
        <v>0</v>
      </c>
      <c r="F2" s="37">
        <f>'Tab1EQ opt2_2'!G5</f>
        <v>2.2786307207697942</v>
      </c>
      <c r="G2" s="37">
        <f>'Tab1EQ opt2_2'!H5</f>
        <v>0</v>
      </c>
      <c r="H2" s="37">
        <f>'Tab1EQ opt2_2'!I5</f>
        <v>0</v>
      </c>
      <c r="I2" s="37">
        <f>'Tab1EQ opt2_2'!J5</f>
        <v>0</v>
      </c>
      <c r="J2" s="37">
        <f>'Tab1EQ opt2_2'!K5</f>
        <v>0</v>
      </c>
      <c r="K2" s="37">
        <f>'Tab1EQ opt2_2'!L5</f>
        <v>1.6006086588236572</v>
      </c>
      <c r="L2" s="37">
        <f>'Tab1EQ opt2_2'!M5</f>
        <v>0</v>
      </c>
      <c r="M2" s="37">
        <f>'Tab1EQ opt2_2'!N5</f>
        <v>1.5390071434272266</v>
      </c>
      <c r="N2" s="37">
        <f>'Tab1EQ opt2_2'!O5</f>
        <v>0</v>
      </c>
      <c r="O2" s="37">
        <f>'Tab1EQ opt2_2'!P5</f>
        <v>0</v>
      </c>
      <c r="P2" s="37">
        <f>'Tab1EQ opt2_2'!Q5</f>
        <v>0</v>
      </c>
      <c r="Q2" s="37">
        <f>'Tab1EQ opt2_2'!R5</f>
        <v>0</v>
      </c>
      <c r="R2" s="37">
        <f>'Tab1EQ opt2_2'!S5</f>
        <v>0</v>
      </c>
      <c r="S2" s="37">
        <f>'Tab1EQ opt2_2'!T5</f>
        <v>0</v>
      </c>
      <c r="T2" s="37">
        <f>'Tab1EQ opt2_2'!U5</f>
        <v>0</v>
      </c>
      <c r="U2" s="37">
        <f>'Tab1EQ opt2_2'!V5</f>
        <v>0</v>
      </c>
      <c r="V2" s="37">
        <f>'Tab1EQ opt2_2'!W5</f>
        <v>0</v>
      </c>
      <c r="W2" s="37">
        <f>'Tab1EQ opt2_2'!X5</f>
        <v>0</v>
      </c>
      <c r="X2" s="37">
        <f>'Tab1EQ opt2_2'!Y5</f>
        <v>0</v>
      </c>
      <c r="Y2" s="37">
        <f>'Tab1EQ opt2_2'!Z5</f>
        <v>0</v>
      </c>
      <c r="Z2" s="68">
        <v>55.84</v>
      </c>
      <c r="AA2" s="7">
        <v>28.0855</v>
      </c>
      <c r="AB2" s="7">
        <v>58.693399999999997</v>
      </c>
      <c r="AC2" s="7">
        <v>63.545999999999999</v>
      </c>
      <c r="AD2" s="7">
        <v>65.38</v>
      </c>
      <c r="AE2" s="7">
        <v>12.01</v>
      </c>
      <c r="AF2" s="7">
        <v>30.973762000000001</v>
      </c>
      <c r="AG2" s="7">
        <v>32.064999999999998</v>
      </c>
      <c r="AH2" s="7">
        <v>14.0067</v>
      </c>
      <c r="AI2" s="7">
        <v>10.81</v>
      </c>
      <c r="AJ2" s="7">
        <v>54.938043999999998</v>
      </c>
      <c r="AK2" s="7">
        <v>26.981539999999999</v>
      </c>
      <c r="AL2" s="7">
        <v>51.996099999999998</v>
      </c>
      <c r="AM2" s="7">
        <v>95.95</v>
      </c>
      <c r="AN2">
        <v>47.866999999999997</v>
      </c>
      <c r="AO2">
        <v>50.941499999999998</v>
      </c>
      <c r="AP2">
        <v>92.906369999999995</v>
      </c>
      <c r="AQ2">
        <v>183.84</v>
      </c>
      <c r="AR2">
        <v>180.94788</v>
      </c>
      <c r="AS2">
        <v>91.224000000000004</v>
      </c>
      <c r="AT2">
        <v>58.933194999999998</v>
      </c>
      <c r="AU2">
        <v>24.305</v>
      </c>
      <c r="AV2" s="7">
        <v>121.76</v>
      </c>
      <c r="AW2" s="7">
        <v>207.2</v>
      </c>
      <c r="AX2" s="7">
        <v>118.71</v>
      </c>
    </row>
    <row r="3" spans="1:50" ht="18.75" x14ac:dyDescent="0.3">
      <c r="A3" s="36">
        <f>100*((((A2)*(Z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95.500790456930361</v>
      </c>
      <c r="B3" s="36">
        <f>100*((((B2)*(AA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0.9010606922262947</v>
      </c>
      <c r="C3" s="36">
        <f>100*((((C2)*(AB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D3" s="36">
        <f>100*((((D2)*(AC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E3" s="36">
        <f>100*((((E2)*(AD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F3" s="36">
        <f>100*((((F2)*(AE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0.50413009166927225</v>
      </c>
      <c r="G3" s="36">
        <f>100*((((G2)*(AF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H3" s="36">
        <f>100*((((H2)*(AG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I3" s="36">
        <f>100*((((I2)*(AH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J3" s="36">
        <f>100*((((J2)*(AI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K3" s="36">
        <f>100*((((K2)*(AJ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1.6198843905191811</v>
      </c>
      <c r="L3" s="36">
        <f>100*((((L2)*(AK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M3" s="36">
        <f>100*((((M2)*(AL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1.4741343686548873</v>
      </c>
      <c r="N3" s="36">
        <f>100*((((N2)*(AM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W2))+((X2)/(AW2))+((Y2)/(AX2)))))</f>
        <v>0</v>
      </c>
      <c r="P3" s="36">
        <f>100*((((P2)*(AO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Q3" s="36">
        <f>100*((((Q2)*(AP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R3" s="36">
        <f>100*((((R2)*(AQ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S3" s="36">
        <f>100*((((S2)*(AR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T3" s="36">
        <f>100*((((T2)*(AS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U3" s="36">
        <f>100*((((U2)*(AT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V3" s="36">
        <f>100*((((V2)*(AU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W3" s="7">
        <f>100*((((W2)*(AV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X3" s="7">
        <f>100*((((X2)*(AW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Y3" s="7">
        <f>100*((((Y2)*(AX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Z3" s="68">
        <v>55.84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50" ht="15.75" x14ac:dyDescent="0.25">
      <c r="A4" s="8"/>
    </row>
    <row r="5" spans="1:50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6DB7-C204-4CC6-8142-70BE2ACB914D}">
  <dimension ref="A1:BB25"/>
  <sheetViews>
    <sheetView zoomScale="84" zoomScaleNormal="84" workbookViewId="0">
      <selection activeCell="F27" sqref="F27"/>
    </sheetView>
  </sheetViews>
  <sheetFormatPr baseColWidth="10" defaultColWidth="8.7109375" defaultRowHeight="15" x14ac:dyDescent="0.25"/>
  <cols>
    <col min="1" max="1" width="24.42578125" customWidth="1"/>
    <col min="2" max="2" width="16.7109375" customWidth="1"/>
    <col min="3" max="3" width="14.28515625" customWidth="1"/>
    <col min="4" max="4" width="15.140625" customWidth="1"/>
    <col min="5" max="5" width="9.42578125" customWidth="1"/>
    <col min="6" max="6" width="8.85546875" customWidth="1"/>
    <col min="7" max="7" width="8.5703125" customWidth="1"/>
    <col min="8" max="8" width="8.42578125" customWidth="1"/>
    <col min="9" max="9" width="9.42578125" customWidth="1"/>
    <col min="10" max="10" width="12.7109375" customWidth="1"/>
    <col min="11" max="11" width="11.85546875" customWidth="1"/>
    <col min="12" max="12" width="10.140625" customWidth="1"/>
    <col min="13" max="13" width="8.140625" customWidth="1"/>
    <col min="14" max="14" width="8.5703125" customWidth="1"/>
    <col min="15" max="15" width="14.140625" customWidth="1"/>
    <col min="16" max="26" width="12.7109375" bestFit="1" customWidth="1"/>
  </cols>
  <sheetData>
    <row r="1" spans="1:54" ht="21" x14ac:dyDescent="0.35">
      <c r="A1" s="89" t="s">
        <v>34</v>
      </c>
      <c r="B1" s="89"/>
      <c r="C1" s="89">
        <f>C5-C2</f>
        <v>-0.72160956126640341</v>
      </c>
      <c r="D1" s="89">
        <f>D4-D2</f>
        <v>0.47203229970554161</v>
      </c>
      <c r="E1" s="89">
        <f>E2-E5</f>
        <v>0</v>
      </c>
      <c r="F1" s="89">
        <f>F4-F2</f>
        <v>0</v>
      </c>
      <c r="G1" s="89">
        <f t="shared" ref="G1:O1" si="0">G4-G2</f>
        <v>-12.031287865566675</v>
      </c>
      <c r="H1" s="89">
        <f t="shared" si="0"/>
        <v>3.1275264776559181E-3</v>
      </c>
      <c r="I1" s="89">
        <f>I4-I2</f>
        <v>6.0421806185942764E-4</v>
      </c>
      <c r="J1" s="89">
        <f>J5-J2</f>
        <v>0</v>
      </c>
      <c r="K1" s="89">
        <f>K5-K2</f>
        <v>0</v>
      </c>
      <c r="L1" s="89">
        <f t="shared" si="0"/>
        <v>6.3415496046421937E-2</v>
      </c>
      <c r="M1" s="89">
        <f t="shared" si="0"/>
        <v>7.9713030872341267E-4</v>
      </c>
      <c r="N1" s="89">
        <f t="shared" si="0"/>
        <v>-24.60742706621361</v>
      </c>
      <c r="O1" s="89">
        <f t="shared" si="0"/>
        <v>-0.46246986879135188</v>
      </c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</row>
    <row r="2" spans="1:54" ht="21" x14ac:dyDescent="0.35">
      <c r="A2" s="89" t="s">
        <v>37</v>
      </c>
      <c r="B2" s="138">
        <f>100-C2-D2-E2-F2-G2-H2-I2-J2-K2-L2-M2-N2-O2</f>
        <v>60.217028380634382</v>
      </c>
      <c r="C2" s="89">
        <f>'1.0330_3'!C6</f>
        <v>1.335559265442404</v>
      </c>
      <c r="D2" s="89">
        <f>'1.0330_3'!D6</f>
        <v>0</v>
      </c>
      <c r="E2" s="89">
        <f>'1.0330_3'!E6</f>
        <v>0</v>
      </c>
      <c r="F2" s="89">
        <f>'1.0330_3'!F6</f>
        <v>0</v>
      </c>
      <c r="G2" s="89">
        <f>'1.0330_3'!G6</f>
        <v>12.353923205342237</v>
      </c>
      <c r="H2" s="89">
        <f>'1.0330_3'!H6</f>
        <v>0</v>
      </c>
      <c r="I2" s="89">
        <f>'1.0330_3'!I6</f>
        <v>0</v>
      </c>
      <c r="J2" s="89">
        <f>'1.0330_3'!J6</f>
        <v>0</v>
      </c>
      <c r="K2" s="89">
        <f>'1.0330_3'!K6</f>
        <v>0</v>
      </c>
      <c r="L2" s="89">
        <f>'1.0330_3'!L6</f>
        <v>0.5008347245409015</v>
      </c>
      <c r="M2" s="89">
        <f>'1.0330_3'!M6</f>
        <v>0</v>
      </c>
      <c r="N2" s="89">
        <f>'1.0330_3'!N6</f>
        <v>25.091819699499169</v>
      </c>
      <c r="O2" s="89">
        <f>'1.0330_3'!O6</f>
        <v>0.5008347245409015</v>
      </c>
      <c r="P2" s="89">
        <f>'1.0330_3'!P6</f>
        <v>0</v>
      </c>
      <c r="Q2" s="89">
        <f>'1.0330_3'!Q6</f>
        <v>0</v>
      </c>
      <c r="R2" s="89">
        <f>'1.0330_3'!R6</f>
        <v>0</v>
      </c>
      <c r="S2" s="89">
        <f>'1.0330_3'!S6</f>
        <v>0</v>
      </c>
      <c r="T2" s="89">
        <f>'1.0330_3'!T6</f>
        <v>0</v>
      </c>
      <c r="U2" s="89">
        <f>'1.0330_3'!U6</f>
        <v>0</v>
      </c>
      <c r="V2" s="89">
        <f>'1.0330_3'!V6</f>
        <v>0</v>
      </c>
      <c r="W2" s="89">
        <f>'1.0330_3'!W6</f>
        <v>0</v>
      </c>
      <c r="X2" s="89">
        <f>'1.0330_3'!X6</f>
        <v>0</v>
      </c>
      <c r="Y2" s="89">
        <f>'1.0330_3'!Y6</f>
        <v>0</v>
      </c>
      <c r="Z2" s="89">
        <f>'1.0330_3'!Z6</f>
        <v>0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</row>
    <row r="3" spans="1:54" ht="21" x14ac:dyDescent="0.35">
      <c r="A3" s="89"/>
      <c r="B3" s="210" t="s">
        <v>14</v>
      </c>
      <c r="C3" s="210" t="s">
        <v>15</v>
      </c>
      <c r="D3" s="210" t="s">
        <v>8</v>
      </c>
      <c r="E3" s="210" t="s">
        <v>9</v>
      </c>
      <c r="F3" s="210" t="s">
        <v>234</v>
      </c>
      <c r="G3" s="210" t="s">
        <v>56</v>
      </c>
      <c r="H3" s="210" t="s">
        <v>57</v>
      </c>
      <c r="I3" s="210" t="s">
        <v>58</v>
      </c>
      <c r="J3" s="210" t="s">
        <v>77</v>
      </c>
      <c r="K3" s="210" t="s">
        <v>204</v>
      </c>
      <c r="L3" s="210" t="s">
        <v>16</v>
      </c>
      <c r="M3" s="210" t="s">
        <v>12</v>
      </c>
      <c r="N3" s="210" t="s">
        <v>44</v>
      </c>
      <c r="O3" s="210" t="s">
        <v>55</v>
      </c>
      <c r="P3" s="210" t="s">
        <v>17</v>
      </c>
      <c r="Q3" s="210" t="s">
        <v>80</v>
      </c>
      <c r="R3" s="210" t="s">
        <v>81</v>
      </c>
      <c r="S3" s="210" t="s">
        <v>82</v>
      </c>
      <c r="T3" s="210" t="s">
        <v>83</v>
      </c>
      <c r="U3" s="210" t="s">
        <v>45</v>
      </c>
      <c r="V3" s="210" t="s">
        <v>43</v>
      </c>
      <c r="W3" s="210" t="s">
        <v>13</v>
      </c>
      <c r="X3" s="210" t="s">
        <v>0</v>
      </c>
      <c r="Y3" s="210" t="s">
        <v>11</v>
      </c>
      <c r="Z3" s="210" t="s">
        <v>10</v>
      </c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</row>
    <row r="4" spans="1:54" ht="21" x14ac:dyDescent="0.35">
      <c r="A4" s="89" t="s">
        <v>35</v>
      </c>
      <c r="B4" s="89">
        <f>100-C4-D4-E4-F4-G4-H4-I4-J4-K4-L4-M4-N4-O4-P4-Q4-R4-S4-T4-U4-V4-W4-X4-Y4-Z4</f>
        <v>97.475997654938126</v>
      </c>
      <c r="C4" s="89">
        <f>'opt 3'!C56</f>
        <v>0.61394970417600059</v>
      </c>
      <c r="D4" s="89">
        <f>'opt 3'!D56</f>
        <v>0.47203229970554161</v>
      </c>
      <c r="E4" s="89">
        <f>'opt 3'!E56</f>
        <v>0</v>
      </c>
      <c r="F4" s="89">
        <f>'opt 3'!F56</f>
        <v>0</v>
      </c>
      <c r="G4" s="89">
        <f>'opt 3'!G56</f>
        <v>0.32263533977556286</v>
      </c>
      <c r="H4" s="89">
        <f>'opt 3'!H56</f>
        <v>3.1275264776559181E-3</v>
      </c>
      <c r="I4" s="89">
        <f>'opt 3'!I56</f>
        <v>6.0421806185942764E-4</v>
      </c>
      <c r="J4" s="89">
        <f>'opt 3'!J56</f>
        <v>1.3832131875118727E-3</v>
      </c>
      <c r="K4" s="89">
        <f>'opt 3'!K56</f>
        <v>2.6883791147348586E-3</v>
      </c>
      <c r="L4" s="89">
        <f>'opt 3'!L56</f>
        <v>0.56425022058732344</v>
      </c>
      <c r="M4" s="89">
        <f>'opt 3'!M56</f>
        <v>7.9713030872341267E-4</v>
      </c>
      <c r="N4" s="89">
        <f>'opt 3'!N56</f>
        <v>0.48439263328556009</v>
      </c>
      <c r="O4" s="89">
        <f>'opt 3'!O56</f>
        <v>3.8364855749549592E-2</v>
      </c>
      <c r="P4" s="89">
        <f>'opt 3'!P56</f>
        <v>0</v>
      </c>
      <c r="Q4" s="89">
        <f>'opt 3'!Q56</f>
        <v>1.9776824631845793E-2</v>
      </c>
      <c r="R4" s="89">
        <f>'opt 3'!R56</f>
        <v>0</v>
      </c>
      <c r="S4" s="89">
        <f>'opt 3'!S56</f>
        <v>0</v>
      </c>
      <c r="T4" s="89">
        <f>'opt 3'!T56</f>
        <v>0</v>
      </c>
      <c r="U4" s="89">
        <f>'opt 3'!U56</f>
        <v>0</v>
      </c>
      <c r="V4" s="89">
        <f>'opt 3'!V56</f>
        <v>0</v>
      </c>
      <c r="W4" s="89">
        <f>'opt 3'!W56</f>
        <v>0</v>
      </c>
      <c r="X4" s="89">
        <f>'opt 3'!X56</f>
        <v>0</v>
      </c>
      <c r="Y4" s="89">
        <f>'opt 3'!Y56</f>
        <v>0</v>
      </c>
      <c r="Z4" s="89">
        <f>'opt 3'!Z56</f>
        <v>0</v>
      </c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</row>
    <row r="5" spans="1:54" ht="21" x14ac:dyDescent="0.35">
      <c r="A5" s="89" t="s">
        <v>36</v>
      </c>
      <c r="B5" s="89">
        <f>100-C5-D5-E5-F5-G5-H5-I5-J5-K5-L5-M5-N5-O5</f>
        <v>97.475997654938126</v>
      </c>
      <c r="C5" s="149">
        <f>C4</f>
        <v>0.61394970417600059</v>
      </c>
      <c r="D5" s="158"/>
      <c r="E5" s="159"/>
      <c r="F5" s="159"/>
      <c r="G5" s="159">
        <f>G4+D4+E4+F4+H4+I4+J4+K4+M4+V4</f>
        <v>0.80326810663158998</v>
      </c>
      <c r="H5" s="159"/>
      <c r="I5" s="159"/>
      <c r="J5" s="149"/>
      <c r="K5" s="149"/>
      <c r="L5" s="7">
        <f>L4</f>
        <v>0.56425022058732344</v>
      </c>
      <c r="M5" s="7"/>
      <c r="N5" s="7">
        <f>N4+O4+P4+Q4+R4+S4+T4+U4+W4+X4+Y4+Z4</f>
        <v>0.54253431366695548</v>
      </c>
      <c r="O5" s="7"/>
      <c r="P5" s="7"/>
      <c r="Q5" s="7"/>
      <c r="R5" s="89"/>
      <c r="S5" s="7"/>
      <c r="T5" s="7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</row>
    <row r="6" spans="1:54" ht="21" x14ac:dyDescent="0.35">
      <c r="A6" s="89"/>
      <c r="B6" s="8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89"/>
      <c r="S6" s="7"/>
      <c r="T6" s="7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</row>
    <row r="7" spans="1:54" ht="21" x14ac:dyDescent="0.35">
      <c r="A7" s="89" t="s">
        <v>92</v>
      </c>
      <c r="B7" s="139">
        <f>100-C7-D7-E7-F7-G7-H7-I7-J7-K7-L7-M7-N7-O7-P7-Q7-R7-S7-T7-U7-V7-W7-X7-Y7-Z7</f>
        <v>61.256637552412712</v>
      </c>
      <c r="C7" s="156">
        <f>C2</f>
        <v>1.335559265442404</v>
      </c>
      <c r="D7" s="156"/>
      <c r="E7" s="156"/>
      <c r="F7" s="156"/>
      <c r="G7" s="156">
        <f>G2-D4-E4-F4-H4-I4-J4-K4-M4-V4</f>
        <v>11.87329043848621</v>
      </c>
      <c r="H7" s="156"/>
      <c r="I7" s="156"/>
      <c r="J7" s="156"/>
      <c r="K7" s="156"/>
      <c r="L7" s="156">
        <f>L2</f>
        <v>0.5008347245409015</v>
      </c>
      <c r="M7" s="156">
        <f>M2</f>
        <v>0</v>
      </c>
      <c r="N7" s="156">
        <f>N2-O4-P4-Q4-R4-S4-T4-U4-W4-X4-Y4-Z4</f>
        <v>25.033678019117772</v>
      </c>
      <c r="O7" s="156"/>
      <c r="P7" s="156"/>
      <c r="Q7" s="156"/>
      <c r="R7" s="177"/>
      <c r="S7" s="156"/>
      <c r="T7" s="7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</row>
    <row r="8" spans="1:54" ht="21" x14ac:dyDescent="0.35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</row>
    <row r="9" spans="1:54" ht="21" x14ac:dyDescent="0.35">
      <c r="A9" s="89"/>
      <c r="B9" s="89"/>
      <c r="C9" s="89"/>
      <c r="D9" s="89"/>
      <c r="E9" s="89"/>
      <c r="F9" s="89" t="s">
        <v>7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</row>
    <row r="10" spans="1:54" ht="21" x14ac:dyDescent="0.35">
      <c r="A10" s="89" t="s">
        <v>32</v>
      </c>
      <c r="B10" s="180"/>
      <c r="C10" s="180"/>
      <c r="D10" s="89"/>
      <c r="E10" s="180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</row>
    <row r="11" spans="1:54" ht="21" x14ac:dyDescent="0.35">
      <c r="A11" s="89" t="s">
        <v>33</v>
      </c>
      <c r="B11" s="181"/>
      <c r="C11" s="181"/>
      <c r="D11" s="89"/>
      <c r="E11" s="181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</row>
    <row r="12" spans="1:54" ht="21" x14ac:dyDescent="0.35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</row>
    <row r="13" spans="1:54" ht="21" x14ac:dyDescent="0.35">
      <c r="A13" s="89"/>
      <c r="B13" s="89" t="s">
        <v>14</v>
      </c>
      <c r="C13" s="180" t="s">
        <v>56</v>
      </c>
      <c r="D13" s="180" t="s">
        <v>15</v>
      </c>
      <c r="E13" s="181" t="s">
        <v>8</v>
      </c>
      <c r="F13" s="180" t="s">
        <v>9</v>
      </c>
      <c r="G13" s="180" t="s">
        <v>57</v>
      </c>
      <c r="H13" s="181" t="s">
        <v>58</v>
      </c>
      <c r="I13" s="180" t="s">
        <v>77</v>
      </c>
      <c r="J13" s="181" t="s">
        <v>13</v>
      </c>
      <c r="K13" s="180" t="s">
        <v>16</v>
      </c>
      <c r="L13" s="180" t="s">
        <v>55</v>
      </c>
      <c r="M13" s="181" t="s">
        <v>44</v>
      </c>
      <c r="N13" s="181" t="s">
        <v>10</v>
      </c>
      <c r="O13" s="180" t="s">
        <v>12</v>
      </c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</row>
    <row r="14" spans="1:54" ht="21" x14ac:dyDescent="0.35">
      <c r="A14" s="89" t="s">
        <v>39</v>
      </c>
      <c r="B14" s="89">
        <f>100-(C14+D14+E14+F14+G14+H14+I14+J14+K14+L14+M14+N14+O14)</f>
        <v>97.226420393377268</v>
      </c>
      <c r="C14" s="89">
        <f>C5-C1</f>
        <v>1.335559265442404</v>
      </c>
      <c r="D14" s="89">
        <f>D5-D1</f>
        <v>-0.47203229970554161</v>
      </c>
      <c r="E14" s="89">
        <f t="shared" ref="E14:I14" si="1">E5</f>
        <v>0</v>
      </c>
      <c r="F14" s="89">
        <f t="shared" si="1"/>
        <v>0</v>
      </c>
      <c r="G14" s="89">
        <f t="shared" si="1"/>
        <v>0.80326810663158998</v>
      </c>
      <c r="H14" s="89">
        <f t="shared" si="1"/>
        <v>0</v>
      </c>
      <c r="I14" s="89">
        <f t="shared" si="1"/>
        <v>0</v>
      </c>
      <c r="J14" s="89">
        <f>J5-J1</f>
        <v>0</v>
      </c>
      <c r="K14" s="89">
        <f>K5-K1</f>
        <v>0</v>
      </c>
      <c r="L14" s="89">
        <f t="shared" ref="L14:O14" si="2">L5</f>
        <v>0.56425022058732344</v>
      </c>
      <c r="M14" s="89">
        <f t="shared" si="2"/>
        <v>0</v>
      </c>
      <c r="N14" s="89">
        <f t="shared" si="2"/>
        <v>0.54253431366695548</v>
      </c>
      <c r="O14" s="89">
        <f t="shared" si="2"/>
        <v>0</v>
      </c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</row>
    <row r="15" spans="1:54" ht="21" x14ac:dyDescent="0.3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</row>
    <row r="16" spans="1:54" ht="21" x14ac:dyDescent="0.3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</row>
    <row r="17" spans="1:54" ht="21" x14ac:dyDescent="0.35">
      <c r="A17" s="89"/>
      <c r="B17" s="210" t="s">
        <v>14</v>
      </c>
      <c r="C17" s="210" t="s">
        <v>15</v>
      </c>
      <c r="D17" s="210" t="s">
        <v>8</v>
      </c>
      <c r="E17" s="210" t="s">
        <v>9</v>
      </c>
      <c r="F17" s="210" t="s">
        <v>234</v>
      </c>
      <c r="G17" s="210" t="s">
        <v>56</v>
      </c>
      <c r="H17" s="210" t="s">
        <v>57</v>
      </c>
      <c r="I17" s="210" t="s">
        <v>58</v>
      </c>
      <c r="J17" s="210" t="s">
        <v>77</v>
      </c>
      <c r="K17" s="210" t="s">
        <v>204</v>
      </c>
      <c r="L17" s="210" t="s">
        <v>16</v>
      </c>
      <c r="M17" s="210" t="s">
        <v>12</v>
      </c>
      <c r="N17" s="210" t="s">
        <v>44</v>
      </c>
      <c r="O17" s="210" t="s">
        <v>55</v>
      </c>
      <c r="P17" s="210" t="s">
        <v>17</v>
      </c>
      <c r="Q17" s="210" t="s">
        <v>80</v>
      </c>
      <c r="R17" s="210" t="s">
        <v>81</v>
      </c>
      <c r="S17" s="210" t="s">
        <v>82</v>
      </c>
      <c r="T17" s="210" t="s">
        <v>83</v>
      </c>
      <c r="U17" s="210" t="s">
        <v>45</v>
      </c>
      <c r="V17" s="210" t="s">
        <v>43</v>
      </c>
      <c r="W17" s="210" t="s">
        <v>13</v>
      </c>
      <c r="X17" s="210" t="s">
        <v>0</v>
      </c>
      <c r="Y17" s="210" t="s">
        <v>11</v>
      </c>
      <c r="Z17" s="210" t="s">
        <v>10</v>
      </c>
      <c r="AA17" s="211" t="s">
        <v>14</v>
      </c>
      <c r="AB17" s="212" t="s">
        <v>15</v>
      </c>
      <c r="AC17" s="213" t="s">
        <v>8</v>
      </c>
      <c r="AD17" s="214" t="s">
        <v>9</v>
      </c>
      <c r="AE17" s="213" t="s">
        <v>234</v>
      </c>
      <c r="AF17" s="213" t="s">
        <v>56</v>
      </c>
      <c r="AG17" s="214" t="s">
        <v>57</v>
      </c>
      <c r="AH17" s="213" t="s">
        <v>58</v>
      </c>
      <c r="AI17" s="215" t="s">
        <v>77</v>
      </c>
      <c r="AJ17" s="216" t="s">
        <v>204</v>
      </c>
      <c r="AK17" s="216" t="s">
        <v>16</v>
      </c>
      <c r="AL17" s="215" t="s">
        <v>12</v>
      </c>
      <c r="AM17" s="215" t="s">
        <v>44</v>
      </c>
      <c r="AN17" s="216" t="s">
        <v>55</v>
      </c>
      <c r="AO17" s="210" t="s">
        <v>17</v>
      </c>
      <c r="AP17" s="210" t="s">
        <v>80</v>
      </c>
      <c r="AQ17" s="210" t="s">
        <v>81</v>
      </c>
      <c r="AR17" s="210" t="s">
        <v>82</v>
      </c>
      <c r="AS17" s="210" t="s">
        <v>83</v>
      </c>
      <c r="AT17" s="210" t="s">
        <v>45</v>
      </c>
      <c r="AU17" s="210" t="s">
        <v>43</v>
      </c>
      <c r="AV17" s="210" t="s">
        <v>13</v>
      </c>
      <c r="AW17" s="210" t="s">
        <v>0</v>
      </c>
      <c r="AX17" s="210" t="s">
        <v>11</v>
      </c>
      <c r="AY17" s="210" t="s">
        <v>10</v>
      </c>
      <c r="AZ17" s="89"/>
      <c r="BA17" s="89"/>
      <c r="BB17" s="89"/>
    </row>
    <row r="18" spans="1:54" ht="21" x14ac:dyDescent="0.35">
      <c r="A18" s="89"/>
      <c r="B18" s="217">
        <f>100-C18-D18-E18-F18-G18-H18-I18-J18-K18-L18-M18-N18-O18-P18-Q18-R18-S18-T18-U18-V18-W18-X18-Y18-Z18</f>
        <v>60.256190366692657</v>
      </c>
      <c r="C18" s="218">
        <f>C7</f>
        <v>1.335559265442404</v>
      </c>
      <c r="D18" s="218">
        <f t="shared" ref="D18:Z18" si="3">D4</f>
        <v>0.47203229970554161</v>
      </c>
      <c r="E18" s="218">
        <f t="shared" si="3"/>
        <v>0</v>
      </c>
      <c r="F18" s="218">
        <f t="shared" si="3"/>
        <v>0</v>
      </c>
      <c r="G18" s="218">
        <f>G7</f>
        <v>11.87329043848621</v>
      </c>
      <c r="H18" s="218">
        <f t="shared" si="3"/>
        <v>3.1275264776559181E-3</v>
      </c>
      <c r="I18" s="218">
        <f t="shared" si="3"/>
        <v>6.0421806185942764E-4</v>
      </c>
      <c r="J18" s="218">
        <f t="shared" si="3"/>
        <v>1.3832131875118727E-3</v>
      </c>
      <c r="K18" s="218">
        <f t="shared" si="3"/>
        <v>2.6883791147348586E-3</v>
      </c>
      <c r="L18" s="218">
        <f>L7</f>
        <v>0.5008347245409015</v>
      </c>
      <c r="M18" s="218">
        <f>M7</f>
        <v>0</v>
      </c>
      <c r="N18" s="218">
        <f>N7</f>
        <v>25.033678019117772</v>
      </c>
      <c r="O18" s="218">
        <f>O2</f>
        <v>0.5008347245409015</v>
      </c>
      <c r="P18" s="218">
        <f t="shared" si="3"/>
        <v>0</v>
      </c>
      <c r="Q18" s="218">
        <f t="shared" si="3"/>
        <v>1.9776824631845793E-2</v>
      </c>
      <c r="R18" s="218">
        <f t="shared" si="3"/>
        <v>0</v>
      </c>
      <c r="S18" s="218">
        <f t="shared" si="3"/>
        <v>0</v>
      </c>
      <c r="T18" s="218">
        <f t="shared" si="3"/>
        <v>0</v>
      </c>
      <c r="U18" s="218">
        <f t="shared" si="3"/>
        <v>0</v>
      </c>
      <c r="V18" s="218">
        <f t="shared" si="3"/>
        <v>0</v>
      </c>
      <c r="W18" s="218">
        <f t="shared" si="3"/>
        <v>0</v>
      </c>
      <c r="X18" s="218">
        <f t="shared" si="3"/>
        <v>0</v>
      </c>
      <c r="Y18" s="218">
        <f t="shared" si="3"/>
        <v>0</v>
      </c>
      <c r="Z18" s="218">
        <f t="shared" si="3"/>
        <v>0</v>
      </c>
      <c r="AA18" s="219">
        <v>55.84</v>
      </c>
      <c r="AB18" s="219">
        <v>28.0855</v>
      </c>
      <c r="AC18" s="219">
        <v>58.693399999999997</v>
      </c>
      <c r="AD18" s="219">
        <v>63.545999999999999</v>
      </c>
      <c r="AE18" s="219">
        <v>65.38</v>
      </c>
      <c r="AF18" s="219">
        <v>12.01</v>
      </c>
      <c r="AG18" s="219">
        <v>30.973762000000001</v>
      </c>
      <c r="AH18" s="219">
        <v>32.064999999999998</v>
      </c>
      <c r="AI18" s="219">
        <v>14.0067</v>
      </c>
      <c r="AJ18" s="219">
        <v>10.81</v>
      </c>
      <c r="AK18" s="219">
        <v>54.938043999999998</v>
      </c>
      <c r="AL18" s="219">
        <v>26.981539999999999</v>
      </c>
      <c r="AM18" s="219">
        <v>51.996099999999998</v>
      </c>
      <c r="AN18" s="219">
        <v>95.95</v>
      </c>
      <c r="AO18" s="220">
        <v>47.866999999999997</v>
      </c>
      <c r="AP18" s="220">
        <v>50.941499999999998</v>
      </c>
      <c r="AQ18" s="220">
        <v>92.906369999999995</v>
      </c>
      <c r="AR18" s="220">
        <v>183.84</v>
      </c>
      <c r="AS18" s="220">
        <v>180.94788</v>
      </c>
      <c r="AT18" s="220">
        <v>91.224000000000004</v>
      </c>
      <c r="AU18" s="220">
        <v>58.933194999999998</v>
      </c>
      <c r="AV18" s="220">
        <v>24.305</v>
      </c>
      <c r="AW18" s="219">
        <v>121.76</v>
      </c>
      <c r="AX18" s="219">
        <v>207.2</v>
      </c>
      <c r="AY18" s="219">
        <v>118.71</v>
      </c>
      <c r="AZ18" s="89"/>
      <c r="BA18" s="89"/>
      <c r="BB18" s="89"/>
    </row>
    <row r="19" spans="1:54" ht="21" x14ac:dyDescent="0.35">
      <c r="A19" s="89"/>
      <c r="B19" s="217">
        <f>100*((((B18)*(AA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67.961294068098752</v>
      </c>
      <c r="C19" s="217">
        <f>100*((((C18)*(AB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0.7576347470606295</v>
      </c>
      <c r="D19" s="217">
        <f>100*((((D18)*(AC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0.55959721568546983</v>
      </c>
      <c r="E19" s="217">
        <f>100*((((E18)*(AD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F19" s="217">
        <f>100*((((F18)*(AE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G19" s="217">
        <f>100*((((G18)*(AF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2.8802398749374407</v>
      </c>
      <c r="H19" s="217">
        <f>100*((((H18)*(AG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1.9566336212778665E-3</v>
      </c>
      <c r="I19" s="217">
        <f>100*((((I18)*(AH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3.9132672425557337E-4</v>
      </c>
      <c r="J19" s="217">
        <f>100*((((J18)*(AI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3.9132672425557337E-4</v>
      </c>
      <c r="K19" s="217">
        <f>100*((((K18)*(AJ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5.8699008638336012E-4</v>
      </c>
      <c r="L19" s="217">
        <f>100*((((L18)*(AK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0.55575347247617635</v>
      </c>
      <c r="M19" s="217">
        <f>100*((((M18)*(AL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N19" s="217">
        <f>100*((((N18)*(AM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26.29117477178773</v>
      </c>
      <c r="O19" s="217">
        <f>100*((((O18)*(AN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0.97063058313632578</v>
      </c>
      <c r="P19" s="217">
        <f>100*((((P18)*(AO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Q19" s="217">
        <f>100*((((Q18)*(AP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2.0348989661289816E-2</v>
      </c>
      <c r="R19" s="217">
        <f>100*((((R18)*(AQ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S19" s="217">
        <f>100*((((S18)*(AR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T19" s="217">
        <f>100*((((T18)*(AS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U19" s="217">
        <f>100*((((U18)*(AT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V19" s="217">
        <f>100*((((V18)*(AU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W19" s="217">
        <f>100*((((W18)*(AV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X19" s="219">
        <f>100*((((X18)*(AW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Y19" s="219">
        <f>100*((((Y18)*(AX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Z19" s="219">
        <f>100*((((Z18)*(AY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89"/>
      <c r="BA19" s="89"/>
      <c r="BB19" s="89"/>
    </row>
    <row r="20" spans="1:54" ht="21" x14ac:dyDescent="0.35">
      <c r="A20" s="89"/>
      <c r="B20" s="89"/>
      <c r="C20" s="89"/>
      <c r="D20" s="89"/>
      <c r="E20" s="89">
        <f>E19/'opt 3'!G6</f>
        <v>0</v>
      </c>
      <c r="F20" s="89">
        <f>F19/'opt 3'!G6</f>
        <v>0</v>
      </c>
      <c r="G20" s="89">
        <f>G19/'opt 3'!G6</f>
        <v>1.0049178590061754</v>
      </c>
      <c r="H20" s="89">
        <f>H19/'opt 3'!G6</f>
        <v>6.8267094232794096E-4</v>
      </c>
      <c r="I20" s="89">
        <f>I19/'opt 3'!G6</f>
        <v>1.3653418846558822E-4</v>
      </c>
      <c r="J20" s="89"/>
      <c r="K20" s="89"/>
      <c r="L20" s="89">
        <f>L19/'opt 3'!G6</f>
        <v>0.19390280460863943</v>
      </c>
      <c r="M20" s="89">
        <f>M19/'opt 3'!G6</f>
        <v>0</v>
      </c>
      <c r="N20" s="89">
        <f>N19/'opt 3'!G6</f>
        <v>9.1730106552309145</v>
      </c>
      <c r="O20" s="89">
        <f>O19/'opt 3'!G6</f>
        <v>0.33865374060639936</v>
      </c>
      <c r="P20" s="89">
        <f>P19/'opt 3'!G6</f>
        <v>0</v>
      </c>
      <c r="Q20" s="89">
        <f>Q19/'opt 3'!G6</f>
        <v>7.0997778002105877E-3</v>
      </c>
      <c r="R20" s="89">
        <f>R19/'opt 3'!G6</f>
        <v>0</v>
      </c>
      <c r="S20" s="89">
        <f>S19/'opt 3'!G6</f>
        <v>0</v>
      </c>
      <c r="T20" s="89">
        <f>T19/'opt 3'!G6</f>
        <v>0</v>
      </c>
      <c r="U20" s="89">
        <f>U19/'opt 3'!G6</f>
        <v>0</v>
      </c>
      <c r="V20" s="89">
        <f>V19/'opt 3'!G6</f>
        <v>0</v>
      </c>
      <c r="W20" s="89">
        <f>W19/'opt 3'!G6</f>
        <v>0</v>
      </c>
      <c r="X20" s="89">
        <f>X19/'opt 3'!G6</f>
        <v>0</v>
      </c>
      <c r="Y20" s="89">
        <f>Y19/'opt 3'!G6</f>
        <v>0</v>
      </c>
      <c r="Z20" s="89">
        <f>Z19/'opt 3'!G6</f>
        <v>0</v>
      </c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</row>
    <row r="21" spans="1:54" ht="21" x14ac:dyDescent="0.35">
      <c r="A21" s="89"/>
      <c r="B21" s="89">
        <f>B2-B18</f>
        <v>-3.9161986058275033E-2</v>
      </c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</row>
    <row r="22" spans="1:54" ht="21" x14ac:dyDescent="0.3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</row>
    <row r="23" spans="1:54" ht="21" x14ac:dyDescent="0.3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</row>
    <row r="24" spans="1:54" ht="21" x14ac:dyDescent="0.3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</row>
    <row r="25" spans="1:54" ht="21" x14ac:dyDescent="0.3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</row>
  </sheetData>
  <pageMargins left="0.7" right="0.7" top="0.75" bottom="0.75" header="0.3" footer="0.3"/>
  <pageSetup paperSize="9"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3CFA-6C96-4220-88B3-0A6871385379}">
  <dimension ref="A1:BQ39"/>
  <sheetViews>
    <sheetView zoomScale="82" zoomScaleNormal="82" workbookViewId="0">
      <selection activeCell="V27" sqref="V27"/>
    </sheetView>
  </sheetViews>
  <sheetFormatPr baseColWidth="10" defaultRowHeight="15" x14ac:dyDescent="0.25"/>
  <cols>
    <col min="2" max="2" width="14.85546875" customWidth="1"/>
    <col min="3" max="3" width="14" customWidth="1"/>
    <col min="5" max="5" width="11.28515625" customWidth="1"/>
    <col min="6" max="7" width="12.85546875" customWidth="1"/>
    <col min="8" max="8" width="11.5703125" customWidth="1"/>
    <col min="9" max="9" width="10.28515625" customWidth="1"/>
    <col min="10" max="10" width="10" customWidth="1"/>
    <col min="11" max="11" width="8.28515625" customWidth="1"/>
    <col min="12" max="12" width="9.28515625" customWidth="1"/>
    <col min="13" max="13" width="10" customWidth="1"/>
    <col min="14" max="14" width="9.140625" customWidth="1"/>
    <col min="15" max="15" width="12" customWidth="1"/>
    <col min="16" max="17" width="15.42578125" customWidth="1"/>
    <col min="18" max="18" width="11.7109375" customWidth="1"/>
    <col min="19" max="19" width="12.5703125" customWidth="1"/>
    <col min="20" max="20" width="12.28515625" customWidth="1"/>
    <col min="21" max="22" width="13" customWidth="1"/>
    <col min="23" max="23" width="13.42578125" customWidth="1"/>
    <col min="24" max="24" width="11.42578125" customWidth="1"/>
    <col min="25" max="25" width="11" customWidth="1"/>
    <col min="26" max="26" width="9.42578125" customWidth="1"/>
    <col min="27" max="27" width="11.85546875" bestFit="1" customWidth="1"/>
  </cols>
  <sheetData>
    <row r="1" spans="1:69" ht="18" x14ac:dyDescent="0.25">
      <c r="A1" s="34"/>
      <c r="B1" s="38"/>
      <c r="C1" s="3"/>
      <c r="D1" s="3"/>
      <c r="E1" s="39"/>
      <c r="F1" s="1"/>
      <c r="G1" s="40"/>
      <c r="H1" s="3"/>
      <c r="I1" s="3"/>
      <c r="J1" s="12"/>
      <c r="K1" s="39"/>
      <c r="L1" s="3"/>
      <c r="M1" s="3"/>
      <c r="N1" s="3"/>
      <c r="O1" s="3"/>
    </row>
    <row r="2" spans="1:69" ht="15.75" x14ac:dyDescent="0.25">
      <c r="B2" s="3">
        <f>SUM(C2:Z2)</f>
        <v>115.81</v>
      </c>
      <c r="C2" s="64">
        <v>84</v>
      </c>
      <c r="D2" s="64">
        <v>26</v>
      </c>
      <c r="E2" s="3"/>
      <c r="F2" s="3">
        <v>3</v>
      </c>
      <c r="G2" s="3">
        <v>0.2</v>
      </c>
      <c r="H2" s="26">
        <v>0.05</v>
      </c>
      <c r="I2" s="3"/>
      <c r="J2" s="26">
        <v>0.75</v>
      </c>
      <c r="K2" s="4">
        <v>1</v>
      </c>
      <c r="L2" s="64">
        <v>0.16</v>
      </c>
      <c r="M2" s="4">
        <v>0.15</v>
      </c>
      <c r="N2" s="65"/>
      <c r="O2" s="26"/>
      <c r="P2" s="4"/>
      <c r="U2">
        <v>0.5</v>
      </c>
    </row>
    <row r="3" spans="1:69" ht="26.25" x14ac:dyDescent="0.4">
      <c r="A3" s="38"/>
      <c r="B3" s="97" t="s">
        <v>14</v>
      </c>
      <c r="C3" s="97" t="s">
        <v>56</v>
      </c>
      <c r="D3" s="97" t="s">
        <v>15</v>
      </c>
      <c r="E3" s="97" t="s">
        <v>8</v>
      </c>
      <c r="F3" s="97" t="s">
        <v>9</v>
      </c>
      <c r="G3" s="97" t="s">
        <v>57</v>
      </c>
      <c r="H3" s="97" t="s">
        <v>58</v>
      </c>
      <c r="I3" s="97" t="s">
        <v>77</v>
      </c>
      <c r="J3" s="97" t="s">
        <v>13</v>
      </c>
      <c r="K3" s="97" t="s">
        <v>16</v>
      </c>
      <c r="L3" s="97" t="s">
        <v>55</v>
      </c>
      <c r="M3" s="97" t="s">
        <v>44</v>
      </c>
      <c r="N3" s="97" t="s">
        <v>43</v>
      </c>
      <c r="O3" s="97" t="s">
        <v>12</v>
      </c>
      <c r="P3" s="33" t="s">
        <v>80</v>
      </c>
      <c r="Q3" s="33" t="s">
        <v>81</v>
      </c>
      <c r="R3" s="33" t="s">
        <v>82</v>
      </c>
      <c r="S3" s="33" t="s">
        <v>83</v>
      </c>
      <c r="T3" s="33" t="s">
        <v>45</v>
      </c>
      <c r="U3" s="33" t="s">
        <v>17</v>
      </c>
      <c r="V3" s="33" t="s">
        <v>111</v>
      </c>
      <c r="W3" s="33" t="s">
        <v>0</v>
      </c>
      <c r="X3" s="33" t="s">
        <v>11</v>
      </c>
      <c r="Y3" s="33" t="s">
        <v>10</v>
      </c>
      <c r="Z3" s="33" t="s">
        <v>46</v>
      </c>
    </row>
    <row r="4" spans="1:69" ht="15.75" x14ac:dyDescent="0.25">
      <c r="A4" s="38"/>
      <c r="B4" s="3">
        <f>100-SUM(C4:Z4)</f>
        <v>80.004336475826761</v>
      </c>
      <c r="C4" s="6">
        <v>14.183134002544934</v>
      </c>
      <c r="D4" s="6">
        <v>4.6004641581409649</v>
      </c>
      <c r="E4" s="6">
        <v>0</v>
      </c>
      <c r="F4" s="6">
        <v>0.66252700375779694</v>
      </c>
      <c r="G4" s="6">
        <v>4.6870528208507095E-2</v>
      </c>
      <c r="H4" s="6">
        <v>9.0550855171968505E-3</v>
      </c>
      <c r="I4" s="6">
        <v>4.836873828863851E-2</v>
      </c>
      <c r="J4" s="6">
        <v>6.3712831018894217E-2</v>
      </c>
      <c r="K4" s="6">
        <v>0.25544496985727511</v>
      </c>
      <c r="L4" s="6">
        <v>0.12608620683902944</v>
      </c>
      <c r="M4" s="6">
        <v>0</v>
      </c>
      <c r="N4" s="6">
        <v>0</v>
      </c>
      <c r="O4" s="6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Z4">
        <v>0</v>
      </c>
    </row>
    <row r="5" spans="1:69" ht="15.75" x14ac:dyDescent="0.25">
      <c r="A5" s="38"/>
      <c r="B5" s="3"/>
      <c r="C5" s="27">
        <f>B4/C4</f>
        <v>5.6408080514131278</v>
      </c>
      <c r="D5" s="27">
        <f>B4/D4</f>
        <v>17.390492290707531</v>
      </c>
      <c r="E5" s="27" t="e">
        <f>B4/E4</f>
        <v>#DIV/0!</v>
      </c>
      <c r="F5" s="27">
        <f>B4/F4</f>
        <v>120.75634052959194</v>
      </c>
      <c r="G5" s="28">
        <f>B4/G4</f>
        <v>1706.9220154703914</v>
      </c>
      <c r="H5" s="28">
        <f>B4/H4</f>
        <v>8835.2933082617001</v>
      </c>
      <c r="I5" s="28">
        <f>B4/I4</f>
        <v>1654.0505149918131</v>
      </c>
      <c r="J5" s="38">
        <f>B4/J4</f>
        <v>1255.7021120612465</v>
      </c>
      <c r="K5" s="38">
        <f>B4/K4</f>
        <v>313.19597532309064</v>
      </c>
      <c r="L5" s="38">
        <f>B4/L4</f>
        <v>634.52092406876795</v>
      </c>
      <c r="M5" s="38" t="e">
        <f>B4/M4</f>
        <v>#DIV/0!</v>
      </c>
      <c r="N5" s="38" t="e">
        <f>B4/N4</f>
        <v>#DIV/0!</v>
      </c>
      <c r="O5" s="38" t="e">
        <f>B4/O4</f>
        <v>#DIV/0!</v>
      </c>
      <c r="P5" t="e">
        <f>B4/P4</f>
        <v>#DIV/0!</v>
      </c>
      <c r="Q5" t="e">
        <f>B4/Q4</f>
        <v>#DIV/0!</v>
      </c>
      <c r="R5" t="e">
        <f>B4/R4</f>
        <v>#DIV/0!</v>
      </c>
      <c r="S5" t="e">
        <f>B4/S4</f>
        <v>#DIV/0!</v>
      </c>
      <c r="T5" t="e">
        <f>B4/T4</f>
        <v>#DIV/0!</v>
      </c>
      <c r="U5" t="e">
        <f>B4/U4</f>
        <v>#DIV/0!</v>
      </c>
      <c r="V5" t="e">
        <f>B4/V4</f>
        <v>#DIV/0!</v>
      </c>
      <c r="W5" t="e">
        <f>B4/W4</f>
        <v>#DIV/0!</v>
      </c>
      <c r="X5" t="e">
        <f>B4/X4</f>
        <v>#DIV/0!</v>
      </c>
      <c r="Y5" t="e">
        <f>B4/Y4</f>
        <v>#DIV/0!</v>
      </c>
      <c r="Z5" t="e">
        <f t="shared" ref="Z5" si="0">L4/Z4</f>
        <v>#DIV/0!</v>
      </c>
    </row>
    <row r="6" spans="1:69" x14ac:dyDescent="0.25">
      <c r="C6">
        <f>599*B4/100/C5</f>
        <v>84.956972675244145</v>
      </c>
      <c r="D6">
        <f>599*B4/100/D5</f>
        <v>27.556780307264379</v>
      </c>
      <c r="E6" t="e">
        <f>599*B4/100/E5</f>
        <v>#DIV/0!</v>
      </c>
      <c r="F6">
        <f>599*B4/100/F5</f>
        <v>3.9685367525092037</v>
      </c>
      <c r="G6">
        <f>599*B4/100/G5</f>
        <v>0.28075446396895748</v>
      </c>
      <c r="H6">
        <f>599*B4/100/H5</f>
        <v>5.423996224800913E-2</v>
      </c>
      <c r="I6">
        <f>599*B4/100/I5</f>
        <v>0.28972874234894469</v>
      </c>
      <c r="J6">
        <f>599*B4/100/J5</f>
        <v>0.38163985780317633</v>
      </c>
      <c r="K6">
        <f>599*B4/100/K5</f>
        <v>1.5301153694450778</v>
      </c>
      <c r="L6">
        <f>599*B4/100/L5</f>
        <v>0.75525637896578623</v>
      </c>
      <c r="M6" t="e">
        <f>599*B4/100/M5</f>
        <v>#DIV/0!</v>
      </c>
      <c r="N6" t="e">
        <f>599*B4/100/N5</f>
        <v>#DIV/0!</v>
      </c>
      <c r="O6" t="e">
        <f>599*B4/100/O5</f>
        <v>#DIV/0!</v>
      </c>
      <c r="P6" t="e">
        <f>599*B4/100/P5</f>
        <v>#DIV/0!</v>
      </c>
      <c r="Q6" t="e">
        <f>599*B4/100/Q5</f>
        <v>#DIV/0!</v>
      </c>
      <c r="R6" t="e">
        <f>599*B4/100/R5</f>
        <v>#DIV/0!</v>
      </c>
      <c r="S6" t="e">
        <f>599*B4/100/S5</f>
        <v>#DIV/0!</v>
      </c>
      <c r="T6" t="e">
        <f>599*B4/100/T5</f>
        <v>#DIV/0!</v>
      </c>
      <c r="U6" t="e">
        <f>599*B4/100/U5</f>
        <v>#DIV/0!</v>
      </c>
      <c r="V6" t="e">
        <f>599*B4/100/V5</f>
        <v>#DIV/0!</v>
      </c>
      <c r="W6" t="e">
        <f>599*B4/100/W5</f>
        <v>#DIV/0!</v>
      </c>
      <c r="X6" t="e">
        <f>599*B4/100/X5</f>
        <v>#DIV/0!</v>
      </c>
      <c r="Y6" t="e">
        <f>599*B4/100/Y5</f>
        <v>#DIV/0!</v>
      </c>
      <c r="Z6" t="e">
        <f>599*B4/100/Z5</f>
        <v>#DIV/0!</v>
      </c>
    </row>
    <row r="7" spans="1:69" ht="15.75" x14ac:dyDescent="0.25">
      <c r="A7" s="42">
        <v>120</v>
      </c>
      <c r="B7" t="s">
        <v>60</v>
      </c>
      <c r="C7" s="43">
        <f>C6+D6+G6+H6+I6+F6</f>
        <v>117.10701290358364</v>
      </c>
      <c r="D7" s="44"/>
      <c r="E7" s="98"/>
      <c r="F7" s="98"/>
      <c r="G7" s="98"/>
      <c r="H7" s="98"/>
      <c r="I7" s="98"/>
      <c r="J7" s="98" t="e">
        <f>J6+O6</f>
        <v>#DIV/0!</v>
      </c>
      <c r="K7" s="98"/>
      <c r="L7" s="98"/>
      <c r="M7" s="98"/>
      <c r="N7" s="98"/>
      <c r="O7" s="98"/>
      <c r="P7" s="98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</row>
    <row r="8" spans="1:69" ht="15.75" x14ac:dyDescent="0.25">
      <c r="A8" s="45">
        <v>3</v>
      </c>
      <c r="B8" s="46" t="s">
        <v>61</v>
      </c>
      <c r="C8" s="47">
        <f>J6+K6+L6</f>
        <v>2.6670116062140403</v>
      </c>
      <c r="E8" s="91">
        <v>1</v>
      </c>
      <c r="F8" s="91">
        <v>2</v>
      </c>
      <c r="G8" s="91">
        <v>3</v>
      </c>
      <c r="H8" s="91">
        <v>4</v>
      </c>
      <c r="I8" s="91" t="s">
        <v>159</v>
      </c>
      <c r="J8" s="91" t="s">
        <v>158</v>
      </c>
      <c r="K8" s="91" t="s">
        <v>157</v>
      </c>
      <c r="L8" s="91" t="s">
        <v>156</v>
      </c>
      <c r="M8" s="91" t="s">
        <v>155</v>
      </c>
      <c r="N8" s="91" t="s">
        <v>154</v>
      </c>
      <c r="O8" s="91" t="s">
        <v>153</v>
      </c>
      <c r="P8" s="91" t="s">
        <v>152</v>
      </c>
      <c r="Q8" s="91" t="s">
        <v>151</v>
      </c>
      <c r="R8" s="91" t="s">
        <v>150</v>
      </c>
      <c r="S8" s="91" t="s">
        <v>149</v>
      </c>
      <c r="T8" s="91" t="s">
        <v>148</v>
      </c>
      <c r="U8" s="91" t="s">
        <v>147</v>
      </c>
      <c r="V8" s="91" t="s">
        <v>146</v>
      </c>
      <c r="W8" s="91" t="s">
        <v>145</v>
      </c>
      <c r="X8" s="91" t="s">
        <v>98</v>
      </c>
      <c r="Y8" s="91" t="s">
        <v>99</v>
      </c>
      <c r="Z8" s="91" t="s">
        <v>100</v>
      </c>
      <c r="AA8" s="91"/>
      <c r="AB8" s="91"/>
      <c r="AC8" s="91"/>
    </row>
    <row r="9" spans="1:69" ht="15.75" x14ac:dyDescent="0.25">
      <c r="A9" s="42"/>
      <c r="B9" t="s">
        <v>62</v>
      </c>
      <c r="C9">
        <f>C7+C8</f>
        <v>119.77402450979768</v>
      </c>
      <c r="D9" t="s">
        <v>94</v>
      </c>
      <c r="E9" s="91">
        <v>678</v>
      </c>
      <c r="F9" s="91">
        <v>536</v>
      </c>
      <c r="G9" s="91">
        <v>857</v>
      </c>
      <c r="H9" s="91">
        <v>833</v>
      </c>
      <c r="I9" s="91">
        <v>715</v>
      </c>
      <c r="J9" s="91">
        <v>563</v>
      </c>
      <c r="K9" s="91">
        <v>825</v>
      </c>
      <c r="L9" s="99">
        <v>864</v>
      </c>
      <c r="M9" s="91">
        <v>817</v>
      </c>
      <c r="N9" s="91">
        <v>813</v>
      </c>
      <c r="O9" s="91">
        <v>477</v>
      </c>
      <c r="P9" s="99">
        <v>868</v>
      </c>
      <c r="Q9" s="99">
        <v>756</v>
      </c>
      <c r="R9" s="99">
        <v>873</v>
      </c>
      <c r="S9" s="99">
        <v>775</v>
      </c>
      <c r="T9" s="99">
        <v>515</v>
      </c>
      <c r="U9" s="99">
        <v>537</v>
      </c>
      <c r="V9" s="99">
        <v>559</v>
      </c>
      <c r="W9" s="99">
        <v>515</v>
      </c>
      <c r="X9" s="91"/>
      <c r="Y9" s="91"/>
      <c r="Z9" s="91"/>
      <c r="AA9" s="91"/>
      <c r="AB9" s="91"/>
      <c r="AC9" s="91"/>
    </row>
    <row r="10" spans="1:69" ht="15.75" x14ac:dyDescent="0.25">
      <c r="A10" s="42"/>
      <c r="B10">
        <v>42</v>
      </c>
      <c r="C10" s="49">
        <f>B10*100/599</f>
        <v>7.0116861435726214</v>
      </c>
      <c r="D10" t="s">
        <v>95</v>
      </c>
      <c r="E10" s="91">
        <v>374</v>
      </c>
      <c r="F10" s="91">
        <v>396</v>
      </c>
      <c r="G10" s="91">
        <v>504</v>
      </c>
      <c r="H10" s="99">
        <v>560</v>
      </c>
      <c r="I10" s="91">
        <v>420</v>
      </c>
      <c r="J10" s="91">
        <v>443</v>
      </c>
      <c r="K10" s="99">
        <v>590</v>
      </c>
      <c r="L10" s="99">
        <v>633</v>
      </c>
      <c r="M10" s="91">
        <v>472</v>
      </c>
      <c r="N10" s="91">
        <v>553</v>
      </c>
      <c r="O10" s="91">
        <v>350</v>
      </c>
      <c r="P10" s="91">
        <v>556</v>
      </c>
      <c r="Q10" s="91">
        <v>459</v>
      </c>
      <c r="R10" s="91">
        <v>638</v>
      </c>
      <c r="S10" s="91">
        <v>492</v>
      </c>
      <c r="T10" s="91">
        <v>384</v>
      </c>
      <c r="U10" s="91">
        <v>418</v>
      </c>
      <c r="V10" s="91">
        <v>444</v>
      </c>
      <c r="W10" s="91">
        <v>314</v>
      </c>
      <c r="X10" s="91"/>
      <c r="Y10" s="91"/>
      <c r="Z10" s="91"/>
      <c r="AA10" s="91"/>
      <c r="AB10" s="91"/>
      <c r="AC10" s="91"/>
    </row>
    <row r="11" spans="1:69" ht="15.75" x14ac:dyDescent="0.25">
      <c r="A11" s="42"/>
      <c r="B11">
        <v>7</v>
      </c>
      <c r="C11" s="49">
        <f>B11*100/599</f>
        <v>1.1686143572621035</v>
      </c>
      <c r="D11" t="s">
        <v>96</v>
      </c>
      <c r="E11" s="91">
        <v>9.8000000000000007</v>
      </c>
      <c r="F11" s="99">
        <v>16.8</v>
      </c>
      <c r="G11" s="91">
        <v>5.8</v>
      </c>
      <c r="H11" s="91">
        <v>6.6</v>
      </c>
      <c r="I11" s="91">
        <v>9.6</v>
      </c>
      <c r="J11" s="99">
        <v>16.600000000000001</v>
      </c>
      <c r="K11" s="91">
        <v>5.5</v>
      </c>
      <c r="L11" s="91">
        <v>5.4</v>
      </c>
      <c r="M11" s="91">
        <v>6.8</v>
      </c>
      <c r="N11" s="99">
        <v>10.3</v>
      </c>
      <c r="O11" s="99">
        <v>23.3</v>
      </c>
      <c r="P11" s="91">
        <v>6.7</v>
      </c>
      <c r="Q11" s="99">
        <v>9.6999999999999993</v>
      </c>
      <c r="R11" s="99">
        <v>5.0999999999999996</v>
      </c>
      <c r="S11" s="99">
        <v>8.9</v>
      </c>
      <c r="T11" s="99">
        <v>22</v>
      </c>
      <c r="U11" s="99">
        <v>19.600000000000001</v>
      </c>
      <c r="V11" s="99">
        <v>18.3</v>
      </c>
      <c r="W11" s="99">
        <v>16.600000000000001</v>
      </c>
      <c r="X11" s="91"/>
      <c r="Y11" s="91"/>
      <c r="Z11" s="91"/>
      <c r="AA11" s="91"/>
      <c r="AB11" s="91"/>
      <c r="AC11" s="91"/>
    </row>
    <row r="12" spans="1:69" ht="21" x14ac:dyDescent="0.35">
      <c r="A12" s="42"/>
      <c r="B12">
        <v>54</v>
      </c>
      <c r="C12" s="49">
        <f t="shared" ref="C12:C18" si="1">B12*100/599</f>
        <v>9.0150250417362265</v>
      </c>
      <c r="E12" s="100">
        <v>109.6</v>
      </c>
      <c r="F12" s="101">
        <v>119</v>
      </c>
      <c r="G12" s="102">
        <v>114.47</v>
      </c>
      <c r="H12" s="102">
        <v>124.77</v>
      </c>
      <c r="I12" s="103">
        <v>116</v>
      </c>
      <c r="J12" s="104">
        <v>124.46</v>
      </c>
      <c r="K12" s="105">
        <v>120</v>
      </c>
      <c r="L12" s="106">
        <v>132</v>
      </c>
      <c r="M12" s="107">
        <v>112.77</v>
      </c>
      <c r="N12" s="99">
        <v>125.86</v>
      </c>
      <c r="O12" s="108">
        <v>115.55</v>
      </c>
      <c r="P12" s="109">
        <v>122.58</v>
      </c>
      <c r="Q12" s="101">
        <v>118.14</v>
      </c>
      <c r="R12" s="109">
        <v>122.19</v>
      </c>
      <c r="S12" s="110">
        <v>119.6</v>
      </c>
      <c r="T12" s="101">
        <v>118.11</v>
      </c>
      <c r="U12" s="99">
        <v>117.46</v>
      </c>
      <c r="V12" s="101">
        <v>119</v>
      </c>
      <c r="W12" s="111">
        <v>111.81</v>
      </c>
      <c r="X12" s="111">
        <v>112.32</v>
      </c>
      <c r="Y12" s="110">
        <v>129.54</v>
      </c>
      <c r="Z12" s="112">
        <v>121.93</v>
      </c>
      <c r="AA12" s="91"/>
      <c r="AB12" s="91"/>
      <c r="AC12" s="91"/>
    </row>
    <row r="13" spans="1:69" ht="15.75" x14ac:dyDescent="0.25">
      <c r="A13" s="42"/>
      <c r="B13">
        <v>6</v>
      </c>
      <c r="C13" s="49">
        <f t="shared" si="1"/>
        <v>1.001669449081803</v>
      </c>
      <c r="D13" t="s">
        <v>97</v>
      </c>
      <c r="E13" s="91">
        <f t="shared" ref="E13:V13" si="2">0.1*E9+15*LOG(E11)</f>
        <v>82.668391135387424</v>
      </c>
      <c r="F13" s="107">
        <f t="shared" si="2"/>
        <v>71.979639225887951</v>
      </c>
      <c r="G13" s="113">
        <f t="shared" si="2"/>
        <v>97.151419903444065</v>
      </c>
      <c r="H13" s="91">
        <f t="shared" si="2"/>
        <v>95.593159033128046</v>
      </c>
      <c r="I13" s="91">
        <f t="shared" si="2"/>
        <v>86.234068495593533</v>
      </c>
      <c r="J13" s="91">
        <f t="shared" si="2"/>
        <v>74.601621320600827</v>
      </c>
      <c r="K13" s="91">
        <f t="shared" si="2"/>
        <v>93.605440342413658</v>
      </c>
      <c r="L13" s="99">
        <f t="shared" si="2"/>
        <v>97.385906397344527</v>
      </c>
      <c r="M13" s="91">
        <f t="shared" si="2"/>
        <v>94.187633690593543</v>
      </c>
      <c r="N13" s="91">
        <f t="shared" si="2"/>
        <v>96.492558370577598</v>
      </c>
      <c r="O13" s="91">
        <f t="shared" si="2"/>
        <v>68.210338815390287</v>
      </c>
      <c r="P13" s="113">
        <f t="shared" si="2"/>
        <v>99.191122040512411</v>
      </c>
      <c r="Q13" s="91">
        <f t="shared" si="2"/>
        <v>90.401576013993676</v>
      </c>
      <c r="R13" s="99">
        <f t="shared" si="2"/>
        <v>97.913552641469053</v>
      </c>
      <c r="S13" s="91">
        <f t="shared" si="2"/>
        <v>91.740850099673693</v>
      </c>
      <c r="T13" s="91">
        <f t="shared" si="2"/>
        <v>71.636340212333096</v>
      </c>
      <c r="U13" s="91">
        <f t="shared" si="2"/>
        <v>73.083841070347148</v>
      </c>
      <c r="V13" s="107">
        <f t="shared" si="2"/>
        <v>74.836766345956448</v>
      </c>
      <c r="W13" s="91"/>
      <c r="X13" s="91"/>
      <c r="Y13" s="91"/>
      <c r="Z13" s="91"/>
      <c r="AA13" s="91"/>
      <c r="AB13" s="91"/>
      <c r="AC13" s="91"/>
      <c r="BQ13" t="s">
        <v>160</v>
      </c>
    </row>
    <row r="14" spans="1:69" ht="15.75" x14ac:dyDescent="0.25">
      <c r="A14" s="42"/>
      <c r="B14">
        <v>30</v>
      </c>
      <c r="C14" s="49">
        <f t="shared" si="1"/>
        <v>5.0083472454090154</v>
      </c>
      <c r="E14" t="s">
        <v>161</v>
      </c>
      <c r="F14">
        <v>118.00197080086186</v>
      </c>
      <c r="G14">
        <v>113.2313701851639</v>
      </c>
      <c r="H14">
        <v>123.43949836880941</v>
      </c>
      <c r="I14">
        <v>114.66178636700174</v>
      </c>
      <c r="J14">
        <v>123.0380605622403</v>
      </c>
      <c r="K14">
        <v>118.69812012877775</v>
      </c>
      <c r="L14">
        <v>127.17368957762817</v>
      </c>
      <c r="M14">
        <v>111.76418720786788</v>
      </c>
      <c r="N14">
        <v>124.86384679639664</v>
      </c>
      <c r="O14">
        <v>114.49953317244182</v>
      </c>
      <c r="P14">
        <v>121.35457791758407</v>
      </c>
      <c r="Q14">
        <v>116.59625261891354</v>
      </c>
      <c r="R14">
        <v>121.1732984906609</v>
      </c>
      <c r="S14">
        <v>118.55488591034751</v>
      </c>
      <c r="T14">
        <v>116.24331953894483</v>
      </c>
      <c r="U14">
        <v>115.58173476654784</v>
      </c>
      <c r="V14">
        <v>116.88748163035281</v>
      </c>
      <c r="W14">
        <v>110.0484294921107</v>
      </c>
      <c r="X14">
        <v>110.62444950429608</v>
      </c>
      <c r="Y14">
        <v>128.07935655220413</v>
      </c>
      <c r="Z14">
        <v>118.68616064215433</v>
      </c>
      <c r="AA14">
        <v>102.8610974196168</v>
      </c>
      <c r="AB14" s="91">
        <v>102.03743723372794</v>
      </c>
      <c r="AC14" s="91">
        <v>102.19853305146755</v>
      </c>
      <c r="AD14">
        <v>109.16193473229031</v>
      </c>
      <c r="AE14">
        <v>108.22138378779606</v>
      </c>
      <c r="AF14">
        <v>114.69683475514074</v>
      </c>
      <c r="AG14">
        <v>115.65860978573029</v>
      </c>
      <c r="AH14">
        <v>119.07646581042495</v>
      </c>
      <c r="AI14">
        <v>106.65422555060418</v>
      </c>
      <c r="AJ14">
        <v>106.68974223809306</v>
      </c>
      <c r="AK14">
        <v>111.8719268290225</v>
      </c>
      <c r="AL14">
        <v>110.55556322507978</v>
      </c>
      <c r="AM14">
        <v>107.83699746896301</v>
      </c>
      <c r="AN14">
        <v>109.52775447991895</v>
      </c>
      <c r="AO14">
        <v>107.66691881619343</v>
      </c>
      <c r="AP14">
        <v>111.36095235609943</v>
      </c>
      <c r="AQ14">
        <v>109.15337922446898</v>
      </c>
      <c r="AR14">
        <v>118.67941545044724</v>
      </c>
      <c r="AS14">
        <v>110.23051607216483</v>
      </c>
      <c r="AT14">
        <v>110.98918001578745</v>
      </c>
      <c r="AU14">
        <v>119.37266947410704</v>
      </c>
      <c r="AV14">
        <v>117.99794880642257</v>
      </c>
      <c r="AW14">
        <v>109.17410073098955</v>
      </c>
      <c r="AX14">
        <v>118.34613906115774</v>
      </c>
      <c r="AY14">
        <v>115.39068811262896</v>
      </c>
      <c r="AZ14">
        <v>137.52260756041377</v>
      </c>
      <c r="BA14">
        <v>120.05625445938234</v>
      </c>
      <c r="BB14">
        <v>83.81303895034813</v>
      </c>
      <c r="BC14">
        <v>114.01526361393321</v>
      </c>
      <c r="BD14">
        <v>114.23014790931757</v>
      </c>
      <c r="BE14">
        <v>119.32689101809157</v>
      </c>
      <c r="BF14">
        <v>126.6028330028907</v>
      </c>
      <c r="BG14">
        <v>126.3067825943312</v>
      </c>
      <c r="BH14">
        <v>129.04262873057587</v>
      </c>
      <c r="BI14">
        <v>133.54266078173052</v>
      </c>
      <c r="BJ14">
        <v>134.56787247102503</v>
      </c>
      <c r="BK14">
        <v>115.85059930627713</v>
      </c>
      <c r="BL14">
        <v>115.08568670655006</v>
      </c>
      <c r="BM14">
        <v>119.74643298964114</v>
      </c>
      <c r="BN14">
        <v>115.21074076494291</v>
      </c>
      <c r="BO14">
        <v>110.45250533782921</v>
      </c>
      <c r="BP14">
        <v>117.10701290358364</v>
      </c>
      <c r="BQ14" s="96">
        <v>115.73</v>
      </c>
    </row>
    <row r="15" spans="1:69" ht="15.75" x14ac:dyDescent="0.25">
      <c r="A15" s="42"/>
      <c r="B15">
        <v>24</v>
      </c>
      <c r="C15" s="49">
        <f t="shared" si="1"/>
        <v>4.006677796327212</v>
      </c>
      <c r="E15">
        <v>1.2918051089114369</v>
      </c>
      <c r="F15">
        <v>1.0031366428644592</v>
      </c>
      <c r="G15">
        <v>1.2389101144640198</v>
      </c>
      <c r="H15">
        <v>1.3329038972723595</v>
      </c>
      <c r="I15">
        <v>1.2899379843431649</v>
      </c>
      <c r="J15">
        <v>1.4245449589568957</v>
      </c>
      <c r="K15">
        <v>1.3058086591708851</v>
      </c>
      <c r="L15">
        <v>1.0210906254680006</v>
      </c>
      <c r="M15">
        <v>1.0129584650611545</v>
      </c>
      <c r="N15">
        <v>1.000360116015764</v>
      </c>
      <c r="O15">
        <v>1.0596224143260631</v>
      </c>
      <c r="P15">
        <v>1.232526632552327</v>
      </c>
      <c r="Q15">
        <v>1.5497802831657186</v>
      </c>
      <c r="R15">
        <v>1.0232404138627145</v>
      </c>
      <c r="S15">
        <v>1.0739431600337881</v>
      </c>
      <c r="T15">
        <v>1.8735853039808419</v>
      </c>
      <c r="U15">
        <v>1.8787127870743814</v>
      </c>
      <c r="V15">
        <v>2.0524748971078228</v>
      </c>
      <c r="W15">
        <v>1.765160251356755</v>
      </c>
      <c r="X15">
        <v>1.7015138961522687</v>
      </c>
      <c r="Y15">
        <v>1.4676277027798996</v>
      </c>
      <c r="Z15">
        <v>3.2438725538203972</v>
      </c>
      <c r="AA15">
        <v>1.2099796808644303</v>
      </c>
      <c r="AB15" s="91">
        <v>1.4533708260812037</v>
      </c>
      <c r="AC15" s="91">
        <v>1.3921735469813195</v>
      </c>
      <c r="AD15">
        <v>1.7046884657048951</v>
      </c>
      <c r="AE15">
        <v>2.2419188759959292</v>
      </c>
      <c r="AF15">
        <v>1.8212676001402586</v>
      </c>
      <c r="AG15">
        <v>1.825444975342942</v>
      </c>
      <c r="AH15">
        <v>1.9493719787805437</v>
      </c>
      <c r="AI15">
        <v>1.4233820665851349</v>
      </c>
      <c r="AJ15">
        <v>1.4234276166702842</v>
      </c>
      <c r="AK15">
        <v>1.7356903120999474</v>
      </c>
      <c r="AL15">
        <v>1.2650747867429097</v>
      </c>
      <c r="AM15">
        <v>1.5289891197997145</v>
      </c>
      <c r="AN15">
        <v>1.3313558020548582</v>
      </c>
      <c r="AO15">
        <v>1.7231327478199563</v>
      </c>
      <c r="AP15">
        <v>2.0018898702292174</v>
      </c>
      <c r="AQ15">
        <v>1.5327703655529412</v>
      </c>
      <c r="AR15">
        <v>3.356410500349313</v>
      </c>
      <c r="AS15">
        <v>1.7637640336144931</v>
      </c>
      <c r="AT15">
        <v>1.8718441912629629</v>
      </c>
      <c r="AU15">
        <v>3.1800655660625541</v>
      </c>
      <c r="AV15">
        <v>1.6014316955137222</v>
      </c>
      <c r="AW15">
        <v>1.6095015517830602</v>
      </c>
      <c r="AX15">
        <v>2.4075834411272901</v>
      </c>
      <c r="AY15">
        <v>2.7034570582137984</v>
      </c>
      <c r="AZ15">
        <v>0.81210723348838965</v>
      </c>
      <c r="BA15">
        <v>0.80773593520504039</v>
      </c>
      <c r="BB15">
        <v>1.8388192865351396</v>
      </c>
      <c r="BC15">
        <v>2.3437003204867084</v>
      </c>
      <c r="BD15">
        <v>1.8125340121693081</v>
      </c>
      <c r="BE15">
        <v>2.129394913941816</v>
      </c>
      <c r="BF15">
        <v>2.1207495584422276</v>
      </c>
      <c r="BG15">
        <v>2.1151099632865478</v>
      </c>
      <c r="BH15">
        <v>1.9920059519353148</v>
      </c>
      <c r="BI15">
        <v>2.1229961211573491</v>
      </c>
      <c r="BJ15">
        <v>2.1204449491243662</v>
      </c>
      <c r="BK15">
        <v>2.3604048482814521</v>
      </c>
      <c r="BL15">
        <v>2.0987594405437462</v>
      </c>
      <c r="BM15">
        <v>3.7078944821863047</v>
      </c>
      <c r="BN15">
        <v>2.4801286940212313</v>
      </c>
      <c r="BO15">
        <v>2.6104512541605773</v>
      </c>
      <c r="BP15">
        <v>2.6670116062140403</v>
      </c>
      <c r="BQ15" s="96">
        <v>1.782</v>
      </c>
    </row>
    <row r="16" spans="1:69" ht="15.75" x14ac:dyDescent="0.25">
      <c r="A16" s="42"/>
      <c r="B16">
        <v>20</v>
      </c>
      <c r="C16" s="49">
        <f t="shared" si="1"/>
        <v>3.33889816360601</v>
      </c>
      <c r="D16" t="s">
        <v>94</v>
      </c>
      <c r="E16">
        <v>109.60433405230745</v>
      </c>
      <c r="F16">
        <v>119.00510744372632</v>
      </c>
      <c r="G16">
        <v>114.47028029962792</v>
      </c>
      <c r="H16">
        <v>124.77240226608177</v>
      </c>
      <c r="I16">
        <v>115.95172435134491</v>
      </c>
      <c r="J16">
        <v>124.4626055211972</v>
      </c>
      <c r="K16">
        <v>120.00392878794862</v>
      </c>
      <c r="L16">
        <v>128.19478020309617</v>
      </c>
      <c r="M16">
        <v>112.77714567292904</v>
      </c>
      <c r="N16">
        <v>125.86420691241241</v>
      </c>
      <c r="O16">
        <v>115.55915558676787</v>
      </c>
      <c r="P16">
        <v>122.58710455013639</v>
      </c>
      <c r="Q16">
        <v>118.14603290207926</v>
      </c>
      <c r="R16">
        <v>122.19653890452361</v>
      </c>
      <c r="S16">
        <v>119.6288290703813</v>
      </c>
      <c r="T16">
        <v>118.11690484292568</v>
      </c>
      <c r="U16">
        <v>117.46044755362222</v>
      </c>
      <c r="V16">
        <v>118.93995652746064</v>
      </c>
      <c r="W16">
        <v>111.81358974346746</v>
      </c>
      <c r="X16">
        <v>112.32596340044834</v>
      </c>
      <c r="Y16">
        <v>129.54698425498404</v>
      </c>
      <c r="Z16">
        <v>121.93003319597473</v>
      </c>
      <c r="AA16">
        <v>104.07107710048123</v>
      </c>
      <c r="AB16" s="91">
        <v>103.49080805980914</v>
      </c>
      <c r="AC16" s="91">
        <v>103.59070659844888</v>
      </c>
      <c r="AD16">
        <v>110.8666231979952</v>
      </c>
      <c r="AE16">
        <v>110.46330266379199</v>
      </c>
      <c r="AF16">
        <v>116.518102355281</v>
      </c>
      <c r="AG16">
        <v>117.48405476107324</v>
      </c>
      <c r="AH16">
        <v>121.0258377892055</v>
      </c>
      <c r="AI16">
        <v>108.07760761718932</v>
      </c>
      <c r="AJ16">
        <v>108.11316985476334</v>
      </c>
      <c r="AK16">
        <v>113.60761714112245</v>
      </c>
      <c r="AL16">
        <v>111.82063801182269</v>
      </c>
      <c r="AM16">
        <v>109.36598658876272</v>
      </c>
      <c r="AN16">
        <v>110.85911028197381</v>
      </c>
      <c r="AO16">
        <v>109.39005156401339</v>
      </c>
      <c r="AP16">
        <v>113.36284222632865</v>
      </c>
      <c r="AQ16">
        <v>110.68614959002191</v>
      </c>
      <c r="AR16">
        <v>122.03582595079655</v>
      </c>
      <c r="AS16">
        <v>111.99428010577932</v>
      </c>
      <c r="AT16">
        <v>112.86102420705042</v>
      </c>
      <c r="AU16">
        <v>122.55273504016959</v>
      </c>
      <c r="AV16">
        <v>119.5993805019363</v>
      </c>
      <c r="AW16">
        <v>110.78360228277261</v>
      </c>
      <c r="AX16">
        <v>120.75372250228503</v>
      </c>
      <c r="AY16">
        <v>118.09414517084276</v>
      </c>
      <c r="AZ16">
        <v>138.33471479390215</v>
      </c>
      <c r="BA16">
        <v>120.86399039458739</v>
      </c>
      <c r="BB16">
        <v>85.651858236883271</v>
      </c>
      <c r="BC16">
        <v>116.35896393441992</v>
      </c>
      <c r="BD16">
        <v>116.04268192148687</v>
      </c>
      <c r="BE16">
        <v>121.45628593203338</v>
      </c>
      <c r="BF16">
        <v>128.72358256133293</v>
      </c>
      <c r="BG16">
        <v>128.42189255761775</v>
      </c>
      <c r="BH16">
        <v>131.03463468251118</v>
      </c>
      <c r="BI16">
        <v>135.66565690288786</v>
      </c>
      <c r="BJ16">
        <v>136.68831742014939</v>
      </c>
      <c r="BK16">
        <v>118.21100415455858</v>
      </c>
      <c r="BL16">
        <v>117.18444614709381</v>
      </c>
      <c r="BM16">
        <v>123.45432747182744</v>
      </c>
      <c r="BN16">
        <v>117.69086945896414</v>
      </c>
      <c r="BO16">
        <v>113.06295659198979</v>
      </c>
      <c r="BP16">
        <v>119.77402450979768</v>
      </c>
      <c r="BQ16">
        <v>117.39</v>
      </c>
    </row>
    <row r="17" spans="1:29" ht="15.75" x14ac:dyDescent="0.25">
      <c r="A17" s="42"/>
      <c r="B17">
        <v>12</v>
      </c>
      <c r="C17" s="49">
        <f t="shared" si="1"/>
        <v>2.003338898163606</v>
      </c>
      <c r="D17" t="s">
        <v>95</v>
      </c>
      <c r="AB17" s="91"/>
      <c r="AC17" s="91"/>
    </row>
    <row r="18" spans="1:29" ht="15.75" x14ac:dyDescent="0.25">
      <c r="A18" s="42"/>
      <c r="B18">
        <v>50</v>
      </c>
      <c r="C18" s="49">
        <f t="shared" si="1"/>
        <v>8.3472454090150254</v>
      </c>
      <c r="D18" t="s">
        <v>96</v>
      </c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</row>
    <row r="19" spans="1:29" ht="15.75" x14ac:dyDescent="0.25">
      <c r="A19" s="29"/>
      <c r="B19" s="3"/>
      <c r="C19" s="5"/>
      <c r="E19" s="91" t="s">
        <v>101</v>
      </c>
      <c r="F19" s="91" t="s">
        <v>102</v>
      </c>
      <c r="G19" s="91" t="s">
        <v>103</v>
      </c>
      <c r="H19" s="91" t="s">
        <v>104</v>
      </c>
      <c r="I19" s="91" t="s">
        <v>105</v>
      </c>
      <c r="J19" s="91" t="s">
        <v>106</v>
      </c>
      <c r="K19" s="91" t="s">
        <v>107</v>
      </c>
      <c r="L19" s="91" t="s">
        <v>108</v>
      </c>
      <c r="M19" s="91" t="s">
        <v>109</v>
      </c>
      <c r="N19" s="91" t="s">
        <v>110</v>
      </c>
      <c r="O19" s="91" t="s">
        <v>112</v>
      </c>
      <c r="P19" s="91" t="s">
        <v>113</v>
      </c>
      <c r="Q19" s="91" t="s">
        <v>114</v>
      </c>
      <c r="R19" s="91" t="s">
        <v>115</v>
      </c>
      <c r="S19" s="91" t="s">
        <v>116</v>
      </c>
      <c r="T19" s="91" t="s">
        <v>117</v>
      </c>
      <c r="U19" s="91" t="s">
        <v>118</v>
      </c>
      <c r="V19" s="91" t="s">
        <v>119</v>
      </c>
      <c r="W19" s="91" t="s">
        <v>120</v>
      </c>
      <c r="X19" s="91" t="s">
        <v>121</v>
      </c>
      <c r="Y19" s="91" t="s">
        <v>122</v>
      </c>
      <c r="Z19" s="91" t="s">
        <v>123</v>
      </c>
      <c r="AA19" s="91" t="s">
        <v>124</v>
      </c>
      <c r="AB19" s="91"/>
      <c r="AC19" s="91"/>
    </row>
    <row r="20" spans="1:29" ht="15.75" x14ac:dyDescent="0.25">
      <c r="A20" s="2"/>
      <c r="B20" s="3"/>
      <c r="C20" s="3"/>
      <c r="D20" t="s">
        <v>97</v>
      </c>
      <c r="E20" s="91">
        <v>579</v>
      </c>
      <c r="F20" s="91">
        <v>608</v>
      </c>
      <c r="G20" s="91">
        <v>618</v>
      </c>
      <c r="H20" s="91">
        <v>647</v>
      </c>
      <c r="I20" s="91">
        <v>647</v>
      </c>
      <c r="J20" s="91"/>
      <c r="K20" s="91"/>
      <c r="L20" s="91"/>
      <c r="M20" s="91"/>
      <c r="N20" s="91"/>
      <c r="O20" s="91">
        <v>353</v>
      </c>
      <c r="P20" s="91">
        <v>334.5</v>
      </c>
      <c r="Q20" s="91">
        <v>360</v>
      </c>
      <c r="R20" s="91">
        <v>356</v>
      </c>
      <c r="S20" s="91">
        <v>330.9</v>
      </c>
      <c r="T20" s="91">
        <v>364.8</v>
      </c>
      <c r="U20" s="91">
        <v>318</v>
      </c>
      <c r="V20" s="91">
        <v>354.7</v>
      </c>
      <c r="W20" s="91"/>
      <c r="X20" s="91"/>
      <c r="Y20" s="91"/>
      <c r="Z20" s="91">
        <v>1707</v>
      </c>
      <c r="AA20" s="91">
        <v>1602</v>
      </c>
      <c r="AB20" s="91"/>
      <c r="AC20" s="91"/>
    </row>
    <row r="21" spans="1:29" ht="15.75" x14ac:dyDescent="0.25">
      <c r="A21" s="3"/>
      <c r="B21" s="6"/>
      <c r="C21" s="6"/>
      <c r="D21" t="s">
        <v>77</v>
      </c>
      <c r="E21" s="91">
        <v>481</v>
      </c>
      <c r="F21" s="91">
        <v>510</v>
      </c>
      <c r="G21" s="91">
        <v>520</v>
      </c>
      <c r="H21" s="91">
        <v>530</v>
      </c>
      <c r="I21" s="91">
        <v>539</v>
      </c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</row>
    <row r="22" spans="1:29" ht="15.75" x14ac:dyDescent="0.25">
      <c r="A22" s="3"/>
      <c r="B22" s="27"/>
      <c r="C22" s="5">
        <f>(C24)*599/100</f>
        <v>87.999999881000008</v>
      </c>
      <c r="D22">
        <f t="shared" ref="D22" si="3">(D24)*599/100</f>
        <v>25.999999923999997</v>
      </c>
      <c r="E22" s="91">
        <v>15</v>
      </c>
      <c r="F22" s="91">
        <v>13</v>
      </c>
      <c r="G22" s="91">
        <v>13</v>
      </c>
      <c r="H22" s="91">
        <v>11</v>
      </c>
      <c r="I22" s="91">
        <v>10</v>
      </c>
      <c r="J22" s="91"/>
      <c r="K22" s="91"/>
      <c r="L22" s="91"/>
      <c r="M22" s="91"/>
      <c r="N22" s="91"/>
      <c r="O22" s="91">
        <v>30.2</v>
      </c>
      <c r="P22" s="91">
        <v>31.2</v>
      </c>
      <c r="Q22" s="91">
        <v>26.8</v>
      </c>
      <c r="R22" s="91">
        <v>28.7</v>
      </c>
      <c r="S22" s="91">
        <v>32.5</v>
      </c>
      <c r="T22" s="91">
        <v>26.1</v>
      </c>
      <c r="U22" s="91">
        <v>33.4</v>
      </c>
      <c r="V22" s="91">
        <v>29.7</v>
      </c>
      <c r="W22" s="91"/>
      <c r="X22" s="91"/>
      <c r="Y22" s="91"/>
      <c r="Z22" s="91">
        <v>1.7</v>
      </c>
      <c r="AA22" s="91">
        <v>1.7</v>
      </c>
      <c r="AB22" s="91"/>
      <c r="AC22" s="91"/>
    </row>
    <row r="23" spans="1:29" ht="23.25" x14ac:dyDescent="0.35">
      <c r="C23" t="s">
        <v>56</v>
      </c>
      <c r="D23" t="s">
        <v>15</v>
      </c>
      <c r="E23" s="102">
        <v>104.07</v>
      </c>
      <c r="F23" s="107">
        <v>103.49</v>
      </c>
      <c r="G23" s="107">
        <v>103.59</v>
      </c>
      <c r="H23" s="100">
        <v>110.86</v>
      </c>
      <c r="I23" s="100">
        <v>110.4</v>
      </c>
      <c r="J23" s="103">
        <v>116.51</v>
      </c>
      <c r="K23" s="101">
        <v>117.48</v>
      </c>
      <c r="L23" s="100">
        <v>121</v>
      </c>
      <c r="M23" s="101">
        <v>108.07</v>
      </c>
      <c r="N23" s="114">
        <v>163.78</v>
      </c>
      <c r="O23" s="101">
        <v>108.11</v>
      </c>
      <c r="P23" s="115">
        <v>113.6</v>
      </c>
      <c r="Q23" s="112">
        <v>111.8</v>
      </c>
      <c r="R23" s="101">
        <v>109.36</v>
      </c>
      <c r="S23" s="102">
        <v>110.86</v>
      </c>
      <c r="T23" s="101">
        <v>109.39</v>
      </c>
      <c r="U23" s="116">
        <v>113.36</v>
      </c>
      <c r="V23" s="100">
        <v>110.68</v>
      </c>
      <c r="W23" s="112">
        <v>122</v>
      </c>
      <c r="X23" s="112">
        <v>112</v>
      </c>
      <c r="Y23" s="112">
        <v>112.86</v>
      </c>
      <c r="Z23" s="112">
        <v>122</v>
      </c>
      <c r="AA23" s="117">
        <v>119.6</v>
      </c>
      <c r="AB23" s="91"/>
      <c r="AC23" s="91"/>
    </row>
    <row r="24" spans="1:29" ht="15.75" x14ac:dyDescent="0.25">
      <c r="A24" t="s">
        <v>93</v>
      </c>
      <c r="B24" s="3">
        <f>100-C24-D24-E28-F28-G28-H28-I28-J28-K28-L28-M28-N28-O28</f>
        <v>-1022.7330094980388</v>
      </c>
      <c r="C24">
        <f>14.6911519</f>
        <v>14.691151899999999</v>
      </c>
      <c r="D24">
        <v>4.3405676</v>
      </c>
      <c r="E24" s="91">
        <f>0.1*E20+15*LOG(E22)</f>
        <v>75.541368885835226</v>
      </c>
      <c r="F24" s="91">
        <f>0.1*F20+15*LOG(F22)</f>
        <v>77.509150284602555</v>
      </c>
      <c r="G24" s="91">
        <f>0.1*G20+15*LOG(G22)</f>
        <v>78.509150284602555</v>
      </c>
      <c r="H24" s="91">
        <f>0.1*H20+15*LOG(H22)</f>
        <v>80.32089027737338</v>
      </c>
      <c r="I24" s="91">
        <f>0.1*I20+15*LOG(I22)</f>
        <v>79.7</v>
      </c>
      <c r="J24" s="91" t="e">
        <f>0.1*J23+15*LOG(J22)</f>
        <v>#NUM!</v>
      </c>
      <c r="K24" s="91" t="e">
        <f t="shared" ref="K24:AA24" si="4">0.1*K20+15*LOG(K22)</f>
        <v>#NUM!</v>
      </c>
      <c r="L24" s="91" t="e">
        <f t="shared" si="4"/>
        <v>#NUM!</v>
      </c>
      <c r="M24" s="91" t="e">
        <f t="shared" si="4"/>
        <v>#NUM!</v>
      </c>
      <c r="N24" s="91" t="e">
        <f t="shared" si="4"/>
        <v>#NUM!</v>
      </c>
      <c r="O24" s="91">
        <f t="shared" si="4"/>
        <v>57.500104144357266</v>
      </c>
      <c r="P24" s="91">
        <f t="shared" si="4"/>
        <v>55.862318910276642</v>
      </c>
      <c r="Q24" s="91">
        <f t="shared" si="4"/>
        <v>57.42202191043183</v>
      </c>
      <c r="R24" s="91">
        <f t="shared" si="4"/>
        <v>57.468228451009885</v>
      </c>
      <c r="S24" s="91">
        <f t="shared" si="4"/>
        <v>55.768250414683109</v>
      </c>
      <c r="T24" s="107">
        <f t="shared" si="4"/>
        <v>57.729607610074218</v>
      </c>
      <c r="U24" s="91">
        <f t="shared" si="4"/>
        <v>54.656197002173471</v>
      </c>
      <c r="V24" s="91">
        <f t="shared" si="4"/>
        <v>57.561346739758179</v>
      </c>
      <c r="W24" s="91" t="e">
        <f t="shared" si="4"/>
        <v>#NUM!</v>
      </c>
      <c r="X24" s="91" t="e">
        <f t="shared" si="4"/>
        <v>#NUM!</v>
      </c>
      <c r="Y24" s="91" t="e">
        <f t="shared" si="4"/>
        <v>#NUM!</v>
      </c>
      <c r="Z24" s="91">
        <f t="shared" si="4"/>
        <v>174.15673382067413</v>
      </c>
      <c r="AA24" s="91">
        <f t="shared" si="4"/>
        <v>163.65673382067413</v>
      </c>
      <c r="AB24" s="91"/>
      <c r="AC24" s="91"/>
    </row>
    <row r="25" spans="1:29" ht="15.75" x14ac:dyDescent="0.25">
      <c r="B25">
        <f>100-B24</f>
        <v>1122.7330094980389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>
        <v>92</v>
      </c>
      <c r="P25" s="91">
        <v>95</v>
      </c>
      <c r="Q25" s="118">
        <v>100</v>
      </c>
      <c r="R25" s="91">
        <v>94</v>
      </c>
      <c r="S25" s="91">
        <v>92</v>
      </c>
      <c r="T25" s="107">
        <v>100</v>
      </c>
      <c r="U25" s="91">
        <v>98</v>
      </c>
      <c r="V25" s="91">
        <v>92</v>
      </c>
      <c r="W25" s="91"/>
      <c r="X25" s="91"/>
      <c r="Y25" s="91"/>
      <c r="Z25" s="91"/>
      <c r="AA25" s="91"/>
      <c r="AB25" s="91"/>
      <c r="AC25" s="91"/>
    </row>
    <row r="26" spans="1:29" ht="15.75" x14ac:dyDescent="0.25">
      <c r="C26" s="5">
        <v>1</v>
      </c>
      <c r="D26" s="30">
        <f>C26*100/599</f>
        <v>0.1669449081803005</v>
      </c>
      <c r="E26" s="91">
        <v>102.8610974196168</v>
      </c>
      <c r="F26" s="91">
        <v>102.03743723372794</v>
      </c>
      <c r="G26" s="91">
        <v>102.19853305146755</v>
      </c>
      <c r="H26" s="91">
        <v>109.16193473229031</v>
      </c>
      <c r="I26" s="91">
        <v>108.22138378779606</v>
      </c>
      <c r="J26" s="91">
        <v>114.69683475514074</v>
      </c>
      <c r="K26" s="91">
        <v>115.65860978573029</v>
      </c>
      <c r="L26" s="91">
        <v>119.07646581042495</v>
      </c>
      <c r="M26" s="91">
        <v>106.65422555060418</v>
      </c>
      <c r="N26" s="91"/>
      <c r="O26" s="91">
        <v>106.68974223809306</v>
      </c>
      <c r="P26" s="91">
        <v>111.8719268290225</v>
      </c>
      <c r="Q26" s="118">
        <v>110.55556322507978</v>
      </c>
      <c r="R26" s="91">
        <v>107.83699746896301</v>
      </c>
      <c r="S26" s="91">
        <v>109.52775447991895</v>
      </c>
      <c r="T26" s="107">
        <v>107.66691881619343</v>
      </c>
      <c r="U26" s="91">
        <v>111.36095235609943</v>
      </c>
      <c r="V26" s="91">
        <v>109.15337922446898</v>
      </c>
      <c r="W26" s="91">
        <v>118.67941545044724</v>
      </c>
      <c r="X26" s="91">
        <v>110.23051607216483</v>
      </c>
      <c r="Y26" s="91">
        <v>110.98918001578745</v>
      </c>
      <c r="Z26" s="91">
        <v>119.37266947410704</v>
      </c>
      <c r="AA26" s="91">
        <v>117.99794880642257</v>
      </c>
      <c r="AB26" s="91"/>
      <c r="AC26" s="91"/>
    </row>
    <row r="27" spans="1:29" ht="15.75" x14ac:dyDescent="0.25">
      <c r="B27" s="5">
        <v>2</v>
      </c>
      <c r="C27" s="5">
        <v>0.5</v>
      </c>
      <c r="D27" s="30">
        <f t="shared" ref="D27:D34" si="5">C27*100/599</f>
        <v>8.347245409015025E-2</v>
      </c>
      <c r="E27" s="91">
        <v>1.2099796808644303</v>
      </c>
      <c r="F27" s="91">
        <v>1.4533708260812037</v>
      </c>
      <c r="G27" s="91">
        <v>1.3921735469813195</v>
      </c>
      <c r="H27" s="91">
        <v>1.7046884657048951</v>
      </c>
      <c r="I27" s="91">
        <v>2.2419188759959292</v>
      </c>
      <c r="J27" s="91">
        <v>1.8212676001402586</v>
      </c>
      <c r="K27" s="91">
        <v>1.825444975342942</v>
      </c>
      <c r="L27" s="91">
        <v>1.9493719787805437</v>
      </c>
      <c r="M27" s="91">
        <v>1.4233820665851349</v>
      </c>
      <c r="N27" s="91"/>
      <c r="O27" s="118">
        <v>1.4234276166702842</v>
      </c>
      <c r="P27" s="118">
        <v>1.7356903120999474</v>
      </c>
      <c r="Q27" s="118">
        <v>1.2650747867429097</v>
      </c>
      <c r="R27" s="118">
        <v>1.5289891197997145</v>
      </c>
      <c r="S27" s="118">
        <v>1.3313558020548582</v>
      </c>
      <c r="T27" s="119">
        <v>1.7231327478199563</v>
      </c>
      <c r="U27" s="118">
        <v>2.0018898702292174</v>
      </c>
      <c r="V27" s="118">
        <v>1.5327703655529412</v>
      </c>
      <c r="W27" s="91">
        <v>3.356410500349313</v>
      </c>
      <c r="X27" s="91">
        <v>1.7637640336144931</v>
      </c>
      <c r="Y27" s="91">
        <v>1.8718441912629629</v>
      </c>
      <c r="Z27" s="91">
        <v>3.1800655660625541</v>
      </c>
      <c r="AA27" s="91">
        <v>1.6014316955137222</v>
      </c>
      <c r="AB27" s="91"/>
      <c r="AC27" s="91"/>
    </row>
    <row r="28" spans="1:29" ht="15.75" x14ac:dyDescent="0.25">
      <c r="B28" s="3">
        <v>3</v>
      </c>
      <c r="C28" s="3">
        <v>0.33333000000000002</v>
      </c>
      <c r="D28" s="30">
        <f t="shared" si="5"/>
        <v>5.5647746243739561E-2</v>
      </c>
      <c r="E28" s="91">
        <v>104.07107710048123</v>
      </c>
      <c r="F28" s="91">
        <v>103.49080805980914</v>
      </c>
      <c r="G28" s="91">
        <v>103.59070659844888</v>
      </c>
      <c r="H28" s="91">
        <v>110.8666231979952</v>
      </c>
      <c r="I28" s="91">
        <v>110.46330266379199</v>
      </c>
      <c r="J28" s="91">
        <v>116.518102355281</v>
      </c>
      <c r="K28" s="91">
        <v>117.48405476107324</v>
      </c>
      <c r="L28" s="91">
        <v>121.0258377892055</v>
      </c>
      <c r="M28" s="91">
        <v>108.07760761718932</v>
      </c>
      <c r="N28" s="91"/>
      <c r="O28" s="91">
        <v>108.11316985476334</v>
      </c>
      <c r="P28" s="91">
        <v>113.60761714112245</v>
      </c>
      <c r="Q28" s="118">
        <v>111.82063801182269</v>
      </c>
      <c r="R28" s="91">
        <v>109.36598658876272</v>
      </c>
      <c r="S28" s="91">
        <v>110.85911028197381</v>
      </c>
      <c r="T28" s="107">
        <v>109.39005156401339</v>
      </c>
      <c r="U28" s="91">
        <v>113.36284222632865</v>
      </c>
      <c r="V28" s="91">
        <v>110.68614959002191</v>
      </c>
      <c r="W28" s="91">
        <v>122.03582595079655</v>
      </c>
      <c r="X28" s="91">
        <v>111.99428010577932</v>
      </c>
      <c r="Y28" s="91">
        <v>112.86102420705042</v>
      </c>
      <c r="Z28" s="91">
        <v>122.55273504016959</v>
      </c>
      <c r="AA28" s="91">
        <v>119.5993805019363</v>
      </c>
      <c r="AB28" s="91"/>
      <c r="AC28" s="91"/>
    </row>
    <row r="29" spans="1:29" ht="15.75" x14ac:dyDescent="0.25">
      <c r="B29" s="3">
        <v>4</v>
      </c>
      <c r="C29" s="3">
        <v>0.25</v>
      </c>
      <c r="D29" s="30">
        <f t="shared" si="5"/>
        <v>4.1736227045075125E-2</v>
      </c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107"/>
      <c r="U29" s="91"/>
      <c r="V29" s="91"/>
      <c r="W29" s="91"/>
      <c r="X29" s="91"/>
      <c r="Y29" s="91"/>
      <c r="Z29" s="91"/>
      <c r="AA29" s="91"/>
      <c r="AB29" s="91"/>
      <c r="AC29" s="91"/>
    </row>
    <row r="30" spans="1:29" ht="15.75" x14ac:dyDescent="0.25">
      <c r="B30" s="28">
        <v>5</v>
      </c>
      <c r="C30" s="5">
        <v>0.2</v>
      </c>
      <c r="D30" s="31">
        <f t="shared" si="5"/>
        <v>3.3388981636060099E-2</v>
      </c>
      <c r="E30" s="91"/>
      <c r="F30" s="91" t="s">
        <v>125</v>
      </c>
      <c r="G30" s="91" t="s">
        <v>126</v>
      </c>
      <c r="H30" s="91" t="s">
        <v>127</v>
      </c>
      <c r="I30" s="91" t="s">
        <v>128</v>
      </c>
      <c r="J30" s="91" t="s">
        <v>129</v>
      </c>
      <c r="K30" s="91" t="s">
        <v>130</v>
      </c>
      <c r="L30" s="91" t="s">
        <v>131</v>
      </c>
      <c r="M30" s="91" t="s">
        <v>132</v>
      </c>
      <c r="N30" s="91" t="s">
        <v>133</v>
      </c>
      <c r="O30" s="91" t="s">
        <v>134</v>
      </c>
      <c r="P30" s="91" t="s">
        <v>138</v>
      </c>
      <c r="Q30" s="91" t="s">
        <v>137</v>
      </c>
      <c r="R30" s="91" t="s">
        <v>136</v>
      </c>
      <c r="S30" s="91" t="s">
        <v>135</v>
      </c>
      <c r="T30" s="91" t="s">
        <v>139</v>
      </c>
      <c r="U30" s="91" t="s">
        <v>140</v>
      </c>
      <c r="V30" s="91" t="s">
        <v>141</v>
      </c>
      <c r="W30" s="91" t="s">
        <v>142</v>
      </c>
      <c r="X30" s="91" t="s">
        <v>143</v>
      </c>
      <c r="Y30" s="91" t="s">
        <v>144</v>
      </c>
      <c r="Z30" s="91"/>
      <c r="AA30" s="91"/>
      <c r="AB30" s="91"/>
      <c r="AC30" s="91"/>
    </row>
    <row r="31" spans="1:29" ht="15.75" x14ac:dyDescent="0.25">
      <c r="B31" s="3">
        <v>6</v>
      </c>
      <c r="C31" s="5">
        <v>0.16666600000000001</v>
      </c>
      <c r="D31" s="31">
        <f t="shared" si="5"/>
        <v>2.7824040066777966E-2</v>
      </c>
      <c r="E31" s="91"/>
      <c r="F31" s="91">
        <v>1510</v>
      </c>
      <c r="G31" s="120">
        <v>1500</v>
      </c>
      <c r="H31" s="91">
        <v>1250</v>
      </c>
      <c r="I31" s="91">
        <v>1352</v>
      </c>
      <c r="J31" s="91">
        <v>1169</v>
      </c>
      <c r="K31" s="91">
        <v>400</v>
      </c>
      <c r="L31" s="91"/>
      <c r="M31" s="91">
        <v>1117</v>
      </c>
      <c r="N31" s="91">
        <v>989</v>
      </c>
      <c r="O31" s="91">
        <v>546</v>
      </c>
      <c r="P31" s="91">
        <v>610</v>
      </c>
      <c r="Q31" s="91">
        <v>688</v>
      </c>
      <c r="R31" s="91">
        <v>815</v>
      </c>
      <c r="S31" s="91">
        <v>843</v>
      </c>
      <c r="T31" s="91">
        <v>1481</v>
      </c>
      <c r="U31" s="91">
        <v>1396</v>
      </c>
      <c r="V31" s="91"/>
      <c r="W31" s="91">
        <v>1455</v>
      </c>
      <c r="X31" s="91"/>
      <c r="Y31" s="91">
        <v>1125</v>
      </c>
      <c r="Z31" s="91"/>
      <c r="AA31" s="91"/>
      <c r="AB31" s="91"/>
      <c r="AC31" s="91"/>
    </row>
    <row r="32" spans="1:29" ht="15.75" x14ac:dyDescent="0.25">
      <c r="B32" s="3">
        <v>7</v>
      </c>
      <c r="C32" s="3">
        <v>0.14280000000000001</v>
      </c>
      <c r="D32" s="31">
        <f t="shared" si="5"/>
        <v>2.3839732888146913E-2</v>
      </c>
      <c r="E32" s="91"/>
      <c r="F32" s="91"/>
      <c r="G32" s="120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</row>
    <row r="33" spans="2:29" ht="15.75" x14ac:dyDescent="0.25">
      <c r="B33" s="28">
        <v>8</v>
      </c>
      <c r="C33" s="28">
        <v>0.125</v>
      </c>
      <c r="D33" s="31">
        <f t="shared" si="5"/>
        <v>2.0868113522537562E-2</v>
      </c>
      <c r="E33" s="91"/>
      <c r="F33" s="91">
        <v>2.8</v>
      </c>
      <c r="G33" s="120">
        <v>4</v>
      </c>
      <c r="H33" s="91">
        <v>9</v>
      </c>
      <c r="I33" s="91">
        <v>10</v>
      </c>
      <c r="J33" s="91">
        <v>16.600000000000001</v>
      </c>
      <c r="K33" s="91">
        <v>18</v>
      </c>
      <c r="L33" s="91"/>
      <c r="M33" s="91">
        <v>9.6</v>
      </c>
      <c r="N33" s="91">
        <v>2.4</v>
      </c>
      <c r="O33" s="91">
        <v>0.6</v>
      </c>
      <c r="P33" s="91">
        <v>13</v>
      </c>
      <c r="Q33" s="91">
        <v>8.83</v>
      </c>
      <c r="R33" s="91">
        <v>6.87</v>
      </c>
      <c r="S33" s="91">
        <v>5</v>
      </c>
      <c r="T33" s="91">
        <v>3.1</v>
      </c>
      <c r="U33" s="91">
        <v>5.5</v>
      </c>
      <c r="V33" s="91"/>
      <c r="W33" s="91">
        <v>3</v>
      </c>
      <c r="X33" s="91"/>
      <c r="Y33" s="91">
        <v>8</v>
      </c>
      <c r="Z33" s="91"/>
      <c r="AA33" s="91"/>
      <c r="AB33" s="91"/>
      <c r="AC33" s="91"/>
    </row>
    <row r="34" spans="2:29" ht="15.75" x14ac:dyDescent="0.25">
      <c r="B34" s="3"/>
      <c r="C34" s="3">
        <v>0.375</v>
      </c>
      <c r="D34" s="31">
        <f t="shared" si="5"/>
        <v>6.2604340567612687E-2</v>
      </c>
      <c r="E34" s="91"/>
      <c r="F34" s="110">
        <v>110.78</v>
      </c>
      <c r="G34" s="110">
        <v>120.75</v>
      </c>
      <c r="H34" s="101">
        <v>118.09</v>
      </c>
      <c r="I34" s="101">
        <v>138.33000000000001</v>
      </c>
      <c r="J34" s="100">
        <v>120.86</v>
      </c>
      <c r="K34" s="91">
        <v>85.65</v>
      </c>
      <c r="L34" s="103">
        <v>116.35</v>
      </c>
      <c r="M34" s="103">
        <v>116.04</v>
      </c>
      <c r="N34" s="107">
        <v>121.45</v>
      </c>
      <c r="O34" s="101">
        <v>128</v>
      </c>
      <c r="P34" s="101">
        <v>128.41999999999999</v>
      </c>
      <c r="Q34" s="100">
        <v>131.03</v>
      </c>
      <c r="R34" s="103">
        <v>135.6</v>
      </c>
      <c r="S34" s="103">
        <v>136.68</v>
      </c>
      <c r="T34" s="101">
        <v>118.21</v>
      </c>
      <c r="U34" s="101">
        <v>117.18</v>
      </c>
      <c r="V34" s="107">
        <v>123.45</v>
      </c>
      <c r="W34" s="101">
        <v>117.69</v>
      </c>
      <c r="X34" s="121">
        <v>113</v>
      </c>
      <c r="Y34" s="110">
        <v>119.77</v>
      </c>
      <c r="Z34" s="91"/>
      <c r="AA34" s="91"/>
      <c r="AB34" s="91"/>
      <c r="AC34" s="91"/>
    </row>
    <row r="35" spans="2:29" x14ac:dyDescent="0.25">
      <c r="E35" s="91"/>
      <c r="F35" s="91">
        <f t="shared" ref="F35:K35" si="6">0.1*F31+15*LOG(F33)</f>
        <v>157.7073704701333</v>
      </c>
      <c r="G35" s="91">
        <f t="shared" si="6"/>
        <v>159.03089986991944</v>
      </c>
      <c r="H35" s="91">
        <f t="shared" si="6"/>
        <v>139.31363764158988</v>
      </c>
      <c r="I35" s="91">
        <f t="shared" si="6"/>
        <v>150.20000000000002</v>
      </c>
      <c r="J35" s="91">
        <f t="shared" si="6"/>
        <v>135.20162132060082</v>
      </c>
      <c r="K35" s="91">
        <f t="shared" si="6"/>
        <v>58.82908757654959</v>
      </c>
      <c r="L35" s="91" t="e">
        <f t="shared" ref="L35:Y35" si="7">0.1*L31+15*LOG(L33)</f>
        <v>#NUM!</v>
      </c>
      <c r="M35" s="91">
        <f t="shared" si="7"/>
        <v>126.43406849559352</v>
      </c>
      <c r="N35" s="91">
        <f t="shared" si="7"/>
        <v>104.6031686256741</v>
      </c>
      <c r="O35" s="91">
        <f t="shared" si="7"/>
        <v>51.272268755754652</v>
      </c>
      <c r="P35" s="91">
        <f t="shared" si="7"/>
        <v>77.709150284602543</v>
      </c>
      <c r="Q35" s="91">
        <f t="shared" si="7"/>
        <v>82.989410553663532</v>
      </c>
      <c r="R35" s="91">
        <f t="shared" si="7"/>
        <v>94.05435105589325</v>
      </c>
      <c r="S35" s="91">
        <f t="shared" si="7"/>
        <v>94.784550065040293</v>
      </c>
      <c r="T35" s="91">
        <f t="shared" si="7"/>
        <v>155.47042540751409</v>
      </c>
      <c r="U35" s="91">
        <f t="shared" si="7"/>
        <v>150.70544034241365</v>
      </c>
      <c r="V35" s="91" t="e">
        <f t="shared" si="7"/>
        <v>#NUM!</v>
      </c>
      <c r="W35" s="91">
        <f t="shared" si="7"/>
        <v>152.65681882079494</v>
      </c>
      <c r="X35" s="91" t="e">
        <f>0.1*X31+15*LOG(X33)</f>
        <v>#NUM!</v>
      </c>
      <c r="Y35" s="91">
        <f t="shared" si="7"/>
        <v>126.04634980487916</v>
      </c>
      <c r="Z35" s="91"/>
      <c r="AA35" s="91"/>
      <c r="AB35" s="91"/>
      <c r="AC35" s="91"/>
    </row>
    <row r="36" spans="2:29" ht="26.25" x14ac:dyDescent="0.4">
      <c r="C36" s="33" t="s">
        <v>160</v>
      </c>
      <c r="E36" s="91"/>
      <c r="F36" s="91">
        <v>109.17410073098955</v>
      </c>
      <c r="G36" s="91">
        <v>118.34613906115774</v>
      </c>
      <c r="H36" s="91">
        <v>115.39068811262896</v>
      </c>
      <c r="I36" s="91">
        <v>137.52260756041377</v>
      </c>
      <c r="J36" s="91">
        <v>120.05625445938234</v>
      </c>
      <c r="K36" s="91">
        <v>83.81303895034813</v>
      </c>
      <c r="L36" s="91">
        <v>114.01526361393321</v>
      </c>
      <c r="M36" s="91">
        <v>114.23014790931757</v>
      </c>
      <c r="N36" s="91">
        <v>119.32689101809157</v>
      </c>
      <c r="O36" s="91">
        <v>126.6028330028907</v>
      </c>
      <c r="P36" s="91">
        <v>126.3067825943312</v>
      </c>
      <c r="Q36" s="91">
        <v>129.04262873057587</v>
      </c>
      <c r="R36" s="91">
        <v>133.54266078173052</v>
      </c>
      <c r="S36" s="91">
        <v>134.56787247102503</v>
      </c>
      <c r="T36" s="91">
        <v>115.85059930627713</v>
      </c>
      <c r="U36" s="91">
        <v>115.08568670655006</v>
      </c>
      <c r="V36" s="91">
        <v>119.74643298964114</v>
      </c>
      <c r="W36" s="91">
        <v>115.21074076494291</v>
      </c>
      <c r="X36" s="91">
        <v>110.45250533782921</v>
      </c>
      <c r="Y36" s="91">
        <v>117.10701290358364</v>
      </c>
      <c r="Z36" s="91"/>
      <c r="AA36" s="91"/>
      <c r="AB36" s="91"/>
      <c r="AC36" s="91"/>
    </row>
    <row r="37" spans="2:29" ht="26.25" x14ac:dyDescent="0.4">
      <c r="C37" s="122">
        <v>115.73</v>
      </c>
      <c r="E37" s="91"/>
      <c r="F37" s="91">
        <v>1.6095015517830602</v>
      </c>
      <c r="G37" s="91">
        <v>2.4075834411272901</v>
      </c>
      <c r="H37" s="91">
        <v>2.7034570582137984</v>
      </c>
      <c r="I37" s="91">
        <v>0.81210723348838965</v>
      </c>
      <c r="J37" s="91">
        <v>0.80773593520504039</v>
      </c>
      <c r="K37" s="91">
        <v>1.8388192865351396</v>
      </c>
      <c r="L37" s="91">
        <v>2.3437003204867084</v>
      </c>
      <c r="M37" s="91">
        <v>1.8125340121693081</v>
      </c>
      <c r="N37" s="91">
        <v>2.129394913941816</v>
      </c>
      <c r="O37" s="91">
        <v>2.1207495584422276</v>
      </c>
      <c r="P37" s="91">
        <v>2.1151099632865478</v>
      </c>
      <c r="Q37" s="91">
        <v>1.9920059519353148</v>
      </c>
      <c r="R37" s="91">
        <v>2.1229961211573491</v>
      </c>
      <c r="S37" s="91">
        <v>2.1204449491243662</v>
      </c>
      <c r="T37" s="91">
        <v>2.3604048482814521</v>
      </c>
      <c r="U37" s="91">
        <v>2.0987594405437462</v>
      </c>
      <c r="V37" s="91">
        <v>3.7078944821863047</v>
      </c>
      <c r="W37" s="91">
        <v>2.4801286940212313</v>
      </c>
      <c r="X37" s="91">
        <v>2.6104512541605773</v>
      </c>
      <c r="Y37" s="91">
        <v>2.6670116062140403</v>
      </c>
      <c r="Z37" s="91"/>
      <c r="AA37" s="91"/>
    </row>
    <row r="38" spans="2:29" ht="26.25" x14ac:dyDescent="0.4">
      <c r="C38" s="122">
        <v>1.782</v>
      </c>
      <c r="E38" s="91"/>
      <c r="F38" s="91">
        <v>110.78360228277261</v>
      </c>
      <c r="G38" s="91">
        <v>120.75372250228503</v>
      </c>
      <c r="H38" s="91">
        <v>118.09414517084276</v>
      </c>
      <c r="I38" s="91">
        <v>138.33471479390215</v>
      </c>
      <c r="J38" s="91">
        <v>120.86399039458739</v>
      </c>
      <c r="K38" s="91">
        <v>85.651858236883271</v>
      </c>
      <c r="L38" s="91">
        <v>116.35896393441992</v>
      </c>
      <c r="M38" s="91">
        <v>116.04268192148687</v>
      </c>
      <c r="N38" s="91">
        <v>121.45628593203338</v>
      </c>
      <c r="O38" s="91">
        <v>128.72358256133293</v>
      </c>
      <c r="P38" s="91">
        <v>128.42189255761775</v>
      </c>
      <c r="Q38" s="91">
        <v>131.03463468251118</v>
      </c>
      <c r="R38" s="91">
        <v>135.66565690288786</v>
      </c>
      <c r="S38" s="91">
        <v>136.68831742014939</v>
      </c>
      <c r="T38" s="91">
        <v>118.21100415455858</v>
      </c>
      <c r="U38" s="91">
        <v>117.18444614709381</v>
      </c>
      <c r="V38" s="91">
        <v>123.45432747182744</v>
      </c>
      <c r="W38" s="91">
        <v>117.69086945896414</v>
      </c>
      <c r="X38" s="91">
        <v>113.06295659198979</v>
      </c>
      <c r="Y38" s="91">
        <v>119.77402450979768</v>
      </c>
      <c r="Z38" s="91"/>
      <c r="AA38" s="91"/>
    </row>
    <row r="39" spans="2:29" ht="26.25" x14ac:dyDescent="0.4">
      <c r="C39" s="33">
        <v>117.39</v>
      </c>
    </row>
  </sheetData>
  <phoneticPr fontId="61" type="noConversion"/>
  <pageMargins left="0.7" right="0.7" top="0.78740157499999996" bottom="0.78740157499999996" header="0.3" footer="0.3"/>
  <pageSetup paperSize="9"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3CBCB-ED72-4FEE-99BC-3FC41DE16EFF}">
  <dimension ref="A1:AY25"/>
  <sheetViews>
    <sheetView zoomScale="86" zoomScaleNormal="86" workbookViewId="0">
      <selection activeCell="C5" sqref="C5:Q7"/>
    </sheetView>
  </sheetViews>
  <sheetFormatPr baseColWidth="10" defaultColWidth="8.7109375" defaultRowHeight="15" x14ac:dyDescent="0.25"/>
  <cols>
    <col min="1" max="1" width="24.42578125" customWidth="1"/>
    <col min="2" max="2" width="16.140625" customWidth="1"/>
    <col min="3" max="3" width="11.140625" customWidth="1"/>
    <col min="4" max="4" width="12.42578125" customWidth="1"/>
    <col min="5" max="5" width="8.7109375" customWidth="1"/>
    <col min="6" max="6" width="8.5703125" customWidth="1"/>
    <col min="7" max="7" width="8.140625" customWidth="1"/>
    <col min="8" max="8" width="6.5703125" customWidth="1"/>
    <col min="9" max="9" width="9.42578125" customWidth="1"/>
    <col min="10" max="10" width="12.7109375" customWidth="1"/>
    <col min="11" max="11" width="15.28515625" customWidth="1"/>
    <col min="12" max="13" width="6" customWidth="1"/>
    <col min="14" max="14" width="5.85546875" customWidth="1"/>
    <col min="15" max="15" width="11.5703125" customWidth="1"/>
    <col min="16" max="17" width="8.85546875" bestFit="1" customWidth="1"/>
  </cols>
  <sheetData>
    <row r="1" spans="1:51" ht="21" x14ac:dyDescent="0.35">
      <c r="A1" s="89" t="s">
        <v>34</v>
      </c>
      <c r="B1" s="89"/>
      <c r="C1" s="89">
        <f>C5-C2</f>
        <v>0.40603192359329099</v>
      </c>
      <c r="D1" s="89">
        <f>D4-D2</f>
        <v>1.3390140731654472</v>
      </c>
      <c r="E1" s="89">
        <f>E2-E5</f>
        <v>0</v>
      </c>
      <c r="F1" s="89">
        <f>F4-F2</f>
        <v>0</v>
      </c>
      <c r="G1" s="89">
        <f t="shared" ref="G1:O1" si="0">G4-G2</f>
        <v>-11.438703503789</v>
      </c>
      <c r="H1" s="89">
        <f t="shared" si="0"/>
        <v>8.8718546811123438E-3</v>
      </c>
      <c r="I1" s="89">
        <f>I4-I2</f>
        <v>1.7139854382745025E-3</v>
      </c>
      <c r="J1" s="89">
        <f>J5-J2</f>
        <v>0</v>
      </c>
      <c r="K1" s="89">
        <f>K5-K2</f>
        <v>0</v>
      </c>
      <c r="L1" s="89">
        <f t="shared" si="0"/>
        <v>1.0997739342827557</v>
      </c>
      <c r="M1" s="89">
        <f t="shared" si="0"/>
        <v>2.2612196288118464E-3</v>
      </c>
      <c r="N1" s="89">
        <f t="shared" si="0"/>
        <v>-23.717743066794917</v>
      </c>
      <c r="O1" s="89">
        <f t="shared" si="0"/>
        <v>-0.39200513428689771</v>
      </c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</row>
    <row r="2" spans="1:51" ht="21" x14ac:dyDescent="0.35">
      <c r="A2" s="89" t="s">
        <v>37</v>
      </c>
      <c r="B2" s="138">
        <f>100-C2-D2-E2-F2-G2-H2-I2-J2-K2-L2-M2-N2-O2</f>
        <v>60.217028380634382</v>
      </c>
      <c r="C2" s="89">
        <f>'1.0330_3'!C6</f>
        <v>1.335559265442404</v>
      </c>
      <c r="D2" s="89">
        <f>'1.0330_3'!D6</f>
        <v>0</v>
      </c>
      <c r="E2" s="89">
        <f>'1.0330_3'!E6</f>
        <v>0</v>
      </c>
      <c r="F2" s="89">
        <f>'1.0330_3'!F6</f>
        <v>0</v>
      </c>
      <c r="G2" s="89">
        <f>'1.0330_3'!G6</f>
        <v>12.353923205342237</v>
      </c>
      <c r="H2" s="89">
        <f>'1.0330_3'!H6</f>
        <v>0</v>
      </c>
      <c r="I2" s="89">
        <f>'1.0330_3'!I6</f>
        <v>0</v>
      </c>
      <c r="J2" s="89">
        <f>'1.0330_3'!J6</f>
        <v>0</v>
      </c>
      <c r="K2" s="89">
        <f>'1.0330_3'!K6</f>
        <v>0</v>
      </c>
      <c r="L2" s="89">
        <f>'1.0330_3'!L6</f>
        <v>0.5008347245409015</v>
      </c>
      <c r="M2" s="89">
        <f>'1.0330_3'!M6</f>
        <v>0</v>
      </c>
      <c r="N2" s="89">
        <f>'1.0330_3'!N6</f>
        <v>25.091819699499169</v>
      </c>
      <c r="O2" s="89">
        <f>'1.0330_3'!O6</f>
        <v>0.5008347245409015</v>
      </c>
      <c r="P2" s="89">
        <f>'1.0330_3'!P6</f>
        <v>0</v>
      </c>
      <c r="Q2" s="89">
        <f>'1.0330_3'!Q6</f>
        <v>0</v>
      </c>
      <c r="R2" s="89">
        <f>'1.0330_3'!R6</f>
        <v>0</v>
      </c>
      <c r="S2" s="89">
        <f>'1.0330_3'!S6</f>
        <v>0</v>
      </c>
      <c r="T2" s="89">
        <f>'1.0330_3'!T6</f>
        <v>0</v>
      </c>
      <c r="U2" s="89">
        <f>'1.0330_3'!U6</f>
        <v>0</v>
      </c>
      <c r="V2" s="89">
        <f>'1.0330_3'!V6</f>
        <v>0</v>
      </c>
      <c r="W2" s="89">
        <f>'1.0330_3'!W6</f>
        <v>0</v>
      </c>
      <c r="X2" s="89">
        <f>'1.0330_3'!X6</f>
        <v>0</v>
      </c>
      <c r="Y2" s="89">
        <f>'1.0330_3'!Y6</f>
        <v>0</v>
      </c>
      <c r="Z2" s="89">
        <f>'1.0330_3'!Z6</f>
        <v>0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</row>
    <row r="3" spans="1:51" ht="21" x14ac:dyDescent="0.35">
      <c r="A3" s="89"/>
      <c r="B3" s="210" t="s">
        <v>14</v>
      </c>
      <c r="C3" s="210" t="s">
        <v>15</v>
      </c>
      <c r="D3" s="210" t="s">
        <v>8</v>
      </c>
      <c r="E3" s="210" t="s">
        <v>9</v>
      </c>
      <c r="F3" s="210" t="s">
        <v>234</v>
      </c>
      <c r="G3" s="210" t="s">
        <v>56</v>
      </c>
      <c r="H3" s="210" t="s">
        <v>57</v>
      </c>
      <c r="I3" s="210" t="s">
        <v>58</v>
      </c>
      <c r="J3" s="210" t="s">
        <v>77</v>
      </c>
      <c r="K3" s="210" t="s">
        <v>204</v>
      </c>
      <c r="L3" s="210" t="s">
        <v>16</v>
      </c>
      <c r="M3" s="210" t="s">
        <v>12</v>
      </c>
      <c r="N3" s="210" t="s">
        <v>44</v>
      </c>
      <c r="O3" s="210" t="s">
        <v>55</v>
      </c>
      <c r="P3" s="210" t="s">
        <v>17</v>
      </c>
      <c r="Q3" s="210" t="s">
        <v>80</v>
      </c>
      <c r="R3" s="210" t="s">
        <v>81</v>
      </c>
      <c r="S3" s="210" t="s">
        <v>82</v>
      </c>
      <c r="T3" s="210" t="s">
        <v>83</v>
      </c>
      <c r="U3" s="210" t="s">
        <v>45</v>
      </c>
      <c r="V3" s="210" t="s">
        <v>43</v>
      </c>
      <c r="W3" s="210" t="s">
        <v>13</v>
      </c>
      <c r="X3" s="210" t="s">
        <v>0</v>
      </c>
      <c r="Y3" s="210" t="s">
        <v>11</v>
      </c>
      <c r="Z3" s="210" t="s">
        <v>10</v>
      </c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</row>
    <row r="4" spans="1:51" ht="21" x14ac:dyDescent="0.35">
      <c r="A4" s="89" t="s">
        <v>35</v>
      </c>
      <c r="B4" s="89">
        <f>100-C4-D4-E4-F4-G4-H4-I4-J4-K4-L4-M4-N4-O4-P4-Q4-R4-S4-T4-U4-V4-W4-X4-Y4-Z4</f>
        <v>92.840162287943642</v>
      </c>
      <c r="C4" s="89">
        <f>'opt 1'!B3</f>
        <v>1.741591189035695</v>
      </c>
      <c r="D4" s="89">
        <f>'opt 1'!C3</f>
        <v>1.3390140731654472</v>
      </c>
      <c r="E4" s="89">
        <f>'opt 1'!D3</f>
        <v>0</v>
      </c>
      <c r="F4" s="89">
        <f>'opt 1'!E3</f>
        <v>0</v>
      </c>
      <c r="G4" s="89">
        <f>'opt 1'!F3</f>
        <v>0.91521970155323784</v>
      </c>
      <c r="H4" s="89">
        <f>'opt 1'!G3</f>
        <v>8.8718546811123438E-3</v>
      </c>
      <c r="I4" s="89">
        <f>'opt 1'!H3</f>
        <v>1.7139854382745025E-3</v>
      </c>
      <c r="J4" s="89">
        <f>'opt 1'!I3</f>
        <v>3.9237609914021089E-3</v>
      </c>
      <c r="K4" s="89">
        <f>'opt 1'!J3</f>
        <v>7.6261253115085933E-3</v>
      </c>
      <c r="L4" s="89">
        <f>'opt 1'!K3</f>
        <v>1.6006086588236572</v>
      </c>
      <c r="M4" s="89">
        <f>'opt 1'!L3</f>
        <v>2.2612196288118464E-3</v>
      </c>
      <c r="N4" s="89">
        <f>'opt 1'!M3</f>
        <v>1.3740766327042508</v>
      </c>
      <c r="O4" s="89">
        <f>'opt 1'!N3</f>
        <v>0.10882959025400381</v>
      </c>
      <c r="P4" s="89">
        <f>'opt 1'!O3</f>
        <v>0</v>
      </c>
      <c r="Q4" s="89">
        <f>'opt 1'!P3</f>
        <v>5.6100920468972061E-2</v>
      </c>
      <c r="R4" s="89">
        <f>'opt 1'!Q3</f>
        <v>0</v>
      </c>
      <c r="S4" s="89">
        <f>'opt 1'!R3</f>
        <v>0</v>
      </c>
      <c r="T4" s="89">
        <f>'opt 1'!S3</f>
        <v>0</v>
      </c>
      <c r="U4" s="89">
        <f>'opt 1'!T3</f>
        <v>0</v>
      </c>
      <c r="V4" s="89">
        <f>'opt 1'!U3</f>
        <v>0</v>
      </c>
      <c r="W4" s="89">
        <f>'opt 1'!V3</f>
        <v>0</v>
      </c>
      <c r="X4" s="89">
        <f>'opt 1'!W3</f>
        <v>0</v>
      </c>
      <c r="Y4" s="89">
        <f>'opt 1'!X3</f>
        <v>0</v>
      </c>
      <c r="Z4" s="89">
        <f>'opt 1'!Y3</f>
        <v>0</v>
      </c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</row>
    <row r="5" spans="1:51" ht="21" x14ac:dyDescent="0.35">
      <c r="A5" s="89" t="s">
        <v>36</v>
      </c>
      <c r="B5" s="89">
        <f>100-C5-D5-E5-F5-G5-H5-I5-J5-K5-L5-M5-N5-O5</f>
        <v>92.840162287943627</v>
      </c>
      <c r="C5" s="149">
        <f>C4</f>
        <v>1.741591189035695</v>
      </c>
      <c r="D5" s="158">
        <f>D4+E4+F4+H4+I4+J4+K4</f>
        <v>1.3611497995877448</v>
      </c>
      <c r="E5" s="159"/>
      <c r="F5" s="159"/>
      <c r="G5" s="159">
        <f>G4</f>
        <v>0.91521970155323784</v>
      </c>
      <c r="H5" s="159"/>
      <c r="I5" s="159"/>
      <c r="J5" s="149"/>
      <c r="K5" s="149"/>
      <c r="L5" s="7">
        <f>L4</f>
        <v>1.6006086588236572</v>
      </c>
      <c r="M5" s="7">
        <f>M4</f>
        <v>2.2612196288118464E-3</v>
      </c>
      <c r="N5" s="7">
        <f>N4+O4+P4+Q4+R4+S4+T4+U4+V4+W4+X4+Y4+Z4</f>
        <v>1.5390071434272266</v>
      </c>
      <c r="O5" s="7"/>
      <c r="P5" s="7"/>
      <c r="Q5" s="7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</row>
    <row r="6" spans="1:51" ht="21" x14ac:dyDescent="0.35">
      <c r="A6" s="89"/>
      <c r="B6" s="8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</row>
    <row r="7" spans="1:51" ht="21" x14ac:dyDescent="0.35">
      <c r="A7" s="89" t="s">
        <v>92</v>
      </c>
      <c r="B7" s="139">
        <f>100-C7-D7-E7-F7-G7-H7-I7-J7-K7-L7-M7-N7-O7-P7-Q7-R7-S7-T7-U7-V7-W7-X7-Y7-Z7</f>
        <v>60.90492934232055</v>
      </c>
      <c r="C7" s="156">
        <f>C2</f>
        <v>1.335559265442404</v>
      </c>
      <c r="D7" s="156">
        <f>D2-E4-F4-H4-I4-J4-K4</f>
        <v>-2.2135726422297549E-2</v>
      </c>
      <c r="E7" s="156"/>
      <c r="F7" s="156"/>
      <c r="G7" s="156">
        <f>G2</f>
        <v>12.353923205342237</v>
      </c>
      <c r="H7" s="156"/>
      <c r="I7" s="156"/>
      <c r="J7" s="156"/>
      <c r="K7" s="156"/>
      <c r="L7" s="156">
        <f>L2</f>
        <v>0.5008347245409015</v>
      </c>
      <c r="M7" s="156">
        <f>M2</f>
        <v>0</v>
      </c>
      <c r="N7" s="156">
        <f>N2-O4-P4-Q4-R4-S4-T4-U4-V4-W4-X4-Y4-Z4</f>
        <v>24.926889188776194</v>
      </c>
      <c r="O7" s="156"/>
      <c r="P7" s="156"/>
      <c r="Q7" s="156"/>
      <c r="R7" s="177"/>
      <c r="S7" s="177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</row>
    <row r="8" spans="1:51" ht="21" x14ac:dyDescent="0.35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</row>
    <row r="9" spans="1:51" ht="21" x14ac:dyDescent="0.35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</row>
    <row r="10" spans="1:51" ht="21" x14ac:dyDescent="0.35">
      <c r="A10" s="89" t="s">
        <v>32</v>
      </c>
      <c r="B10" s="180"/>
      <c r="C10" s="180"/>
      <c r="D10" s="89"/>
      <c r="E10" s="180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</row>
    <row r="11" spans="1:51" ht="21" x14ac:dyDescent="0.35">
      <c r="A11" s="89" t="s">
        <v>33</v>
      </c>
      <c r="B11" s="181"/>
      <c r="C11" s="181"/>
      <c r="D11" s="89"/>
      <c r="E11" s="181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</row>
    <row r="12" spans="1:51" ht="21" x14ac:dyDescent="0.35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</row>
    <row r="13" spans="1:51" ht="21" x14ac:dyDescent="0.35">
      <c r="A13" s="89"/>
      <c r="B13" s="89" t="s">
        <v>14</v>
      </c>
      <c r="C13" s="180" t="s">
        <v>56</v>
      </c>
      <c r="D13" s="180" t="s">
        <v>15</v>
      </c>
      <c r="E13" s="181" t="s">
        <v>8</v>
      </c>
      <c r="F13" s="180" t="s">
        <v>9</v>
      </c>
      <c r="G13" s="180" t="s">
        <v>57</v>
      </c>
      <c r="H13" s="181" t="s">
        <v>58</v>
      </c>
      <c r="I13" s="180" t="s">
        <v>77</v>
      </c>
      <c r="J13" s="181" t="s">
        <v>13</v>
      </c>
      <c r="K13" s="180" t="s">
        <v>16</v>
      </c>
      <c r="L13" s="180" t="s">
        <v>55</v>
      </c>
      <c r="M13" s="181" t="s">
        <v>44</v>
      </c>
      <c r="N13" s="181" t="s">
        <v>10</v>
      </c>
      <c r="O13" s="180" t="s">
        <v>12</v>
      </c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</row>
    <row r="14" spans="1:51" ht="21" x14ac:dyDescent="0.35">
      <c r="A14" s="89" t="s">
        <v>39</v>
      </c>
      <c r="B14" s="89">
        <f>100-(C14+D14+E14+F14+G14+H14+I14+J14+K14+L14+M14+N14+O14)</f>
        <v>94.585208284702361</v>
      </c>
      <c r="C14" s="89">
        <f>C5-C1</f>
        <v>1.335559265442404</v>
      </c>
      <c r="D14" s="89">
        <f>D5-D1</f>
        <v>2.2135726422297664E-2</v>
      </c>
      <c r="E14" s="89">
        <f t="shared" ref="E14:I14" si="1">E5</f>
        <v>0</v>
      </c>
      <c r="F14" s="89">
        <f t="shared" si="1"/>
        <v>0</v>
      </c>
      <c r="G14" s="89">
        <f t="shared" si="1"/>
        <v>0.91521970155323784</v>
      </c>
      <c r="H14" s="89">
        <f t="shared" si="1"/>
        <v>0</v>
      </c>
      <c r="I14" s="89">
        <f t="shared" si="1"/>
        <v>0</v>
      </c>
      <c r="J14" s="89">
        <f>J5-J1</f>
        <v>0</v>
      </c>
      <c r="K14" s="89">
        <f>K5-K1</f>
        <v>0</v>
      </c>
      <c r="L14" s="89">
        <f t="shared" ref="L14:O14" si="2">L5</f>
        <v>1.6006086588236572</v>
      </c>
      <c r="M14" s="89">
        <f t="shared" si="2"/>
        <v>2.2612196288118464E-3</v>
      </c>
      <c r="N14" s="89">
        <f t="shared" si="2"/>
        <v>1.5390071434272266</v>
      </c>
      <c r="O14" s="89">
        <f t="shared" si="2"/>
        <v>0</v>
      </c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</row>
    <row r="15" spans="1:51" ht="21" x14ac:dyDescent="0.3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</row>
    <row r="16" spans="1:51" ht="21" x14ac:dyDescent="0.3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</row>
    <row r="17" spans="1:51" ht="21" x14ac:dyDescent="0.35">
      <c r="A17" s="89"/>
      <c r="B17" s="210" t="s">
        <v>14</v>
      </c>
      <c r="C17" s="210" t="s">
        <v>15</v>
      </c>
      <c r="D17" s="210" t="s">
        <v>8</v>
      </c>
      <c r="E17" s="210" t="s">
        <v>9</v>
      </c>
      <c r="F17" s="210" t="s">
        <v>234</v>
      </c>
      <c r="G17" s="210" t="s">
        <v>56</v>
      </c>
      <c r="H17" s="210" t="s">
        <v>57</v>
      </c>
      <c r="I17" s="210" t="s">
        <v>58</v>
      </c>
      <c r="J17" s="210" t="s">
        <v>77</v>
      </c>
      <c r="K17" s="210" t="s">
        <v>204</v>
      </c>
      <c r="L17" s="210" t="s">
        <v>16</v>
      </c>
      <c r="M17" s="210" t="s">
        <v>12</v>
      </c>
      <c r="N17" s="210" t="s">
        <v>44</v>
      </c>
      <c r="O17" s="210" t="s">
        <v>55</v>
      </c>
      <c r="P17" s="210" t="s">
        <v>17</v>
      </c>
      <c r="Q17" s="210" t="s">
        <v>80</v>
      </c>
      <c r="R17" s="210" t="s">
        <v>81</v>
      </c>
      <c r="S17" s="210" t="s">
        <v>82</v>
      </c>
      <c r="T17" s="210" t="s">
        <v>83</v>
      </c>
      <c r="U17" s="210" t="s">
        <v>45</v>
      </c>
      <c r="V17" s="210" t="s">
        <v>43</v>
      </c>
      <c r="W17" s="210" t="s">
        <v>13</v>
      </c>
      <c r="X17" s="210" t="s">
        <v>0</v>
      </c>
      <c r="Y17" s="210" t="s">
        <v>11</v>
      </c>
      <c r="Z17" s="210" t="s">
        <v>10</v>
      </c>
      <c r="AA17" s="210" t="s">
        <v>14</v>
      </c>
      <c r="AB17" s="210" t="s">
        <v>15</v>
      </c>
      <c r="AC17" s="210" t="s">
        <v>8</v>
      </c>
      <c r="AD17" s="210" t="s">
        <v>9</v>
      </c>
      <c r="AE17" s="210" t="s">
        <v>234</v>
      </c>
      <c r="AF17" s="210" t="s">
        <v>56</v>
      </c>
      <c r="AG17" s="210" t="s">
        <v>57</v>
      </c>
      <c r="AH17" s="210" t="s">
        <v>58</v>
      </c>
      <c r="AI17" s="210" t="s">
        <v>77</v>
      </c>
      <c r="AJ17" s="210" t="s">
        <v>204</v>
      </c>
      <c r="AK17" s="210" t="s">
        <v>16</v>
      </c>
      <c r="AL17" s="210" t="s">
        <v>12</v>
      </c>
      <c r="AM17" s="210" t="s">
        <v>44</v>
      </c>
      <c r="AN17" s="210" t="s">
        <v>55</v>
      </c>
      <c r="AO17" s="210" t="s">
        <v>17</v>
      </c>
      <c r="AP17" s="210" t="s">
        <v>80</v>
      </c>
      <c r="AQ17" s="210" t="s">
        <v>81</v>
      </c>
      <c r="AR17" s="210" t="s">
        <v>82</v>
      </c>
      <c r="AS17" s="210" t="s">
        <v>83</v>
      </c>
      <c r="AT17" s="210" t="s">
        <v>45</v>
      </c>
      <c r="AU17" s="210" t="s">
        <v>43</v>
      </c>
      <c r="AV17" s="210" t="s">
        <v>13</v>
      </c>
      <c r="AW17" s="210" t="s">
        <v>0</v>
      </c>
      <c r="AX17" s="210" t="s">
        <v>11</v>
      </c>
      <c r="AY17" s="210" t="s">
        <v>10</v>
      </c>
    </row>
    <row r="18" spans="1:51" ht="21" x14ac:dyDescent="0.35">
      <c r="A18" s="89"/>
      <c r="B18" s="217">
        <f>100-C18-D18-E18-F18-G18-H18-I18-J18-K18-L18-M18-N18-O18-P18-Q18-R18-S18-T18-U18-V18-W18-X18-Y18-Z18</f>
        <v>59.356713305587547</v>
      </c>
      <c r="C18" s="218">
        <f>C7</f>
        <v>1.335559265442404</v>
      </c>
      <c r="D18" s="218">
        <f t="shared" ref="D18:Z18" si="3">D4</f>
        <v>1.3390140731654472</v>
      </c>
      <c r="E18" s="218">
        <f t="shared" si="3"/>
        <v>0</v>
      </c>
      <c r="F18" s="218">
        <f t="shared" si="3"/>
        <v>0</v>
      </c>
      <c r="G18" s="218">
        <f>G7</f>
        <v>12.353923205342237</v>
      </c>
      <c r="H18" s="218">
        <f t="shared" si="3"/>
        <v>8.8718546811123438E-3</v>
      </c>
      <c r="I18" s="218">
        <f t="shared" si="3"/>
        <v>1.7139854382745025E-3</v>
      </c>
      <c r="J18" s="218">
        <f t="shared" si="3"/>
        <v>3.9237609914021089E-3</v>
      </c>
      <c r="K18" s="218">
        <f t="shared" si="3"/>
        <v>7.6261253115085933E-3</v>
      </c>
      <c r="L18" s="218">
        <f>L7</f>
        <v>0.5008347245409015</v>
      </c>
      <c r="M18" s="218">
        <f>M7</f>
        <v>0</v>
      </c>
      <c r="N18" s="218">
        <f>N7</f>
        <v>24.926889188776194</v>
      </c>
      <c r="O18" s="218">
        <f t="shared" si="3"/>
        <v>0.10882959025400381</v>
      </c>
      <c r="P18" s="218">
        <f t="shared" si="3"/>
        <v>0</v>
      </c>
      <c r="Q18" s="218">
        <f t="shared" si="3"/>
        <v>5.6100920468972061E-2</v>
      </c>
      <c r="R18" s="218">
        <f t="shared" si="3"/>
        <v>0</v>
      </c>
      <c r="S18" s="218">
        <f t="shared" si="3"/>
        <v>0</v>
      </c>
      <c r="T18" s="218">
        <f t="shared" si="3"/>
        <v>0</v>
      </c>
      <c r="U18" s="218">
        <f t="shared" si="3"/>
        <v>0</v>
      </c>
      <c r="V18" s="218">
        <f t="shared" si="3"/>
        <v>0</v>
      </c>
      <c r="W18" s="218">
        <f t="shared" si="3"/>
        <v>0</v>
      </c>
      <c r="X18" s="218">
        <f t="shared" si="3"/>
        <v>0</v>
      </c>
      <c r="Y18" s="218">
        <f t="shared" si="3"/>
        <v>0</v>
      </c>
      <c r="Z18" s="218">
        <f t="shared" si="3"/>
        <v>0</v>
      </c>
      <c r="AA18" s="225">
        <v>55.84</v>
      </c>
      <c r="AB18" s="219">
        <v>28.0855</v>
      </c>
      <c r="AC18" s="219">
        <v>58.693399999999997</v>
      </c>
      <c r="AD18" s="219">
        <v>63.545999999999999</v>
      </c>
      <c r="AE18" s="219">
        <v>65.38</v>
      </c>
      <c r="AF18" s="219">
        <v>12.01</v>
      </c>
      <c r="AG18" s="219">
        <v>30.973762000000001</v>
      </c>
      <c r="AH18" s="219">
        <v>32.064999999999998</v>
      </c>
      <c r="AI18" s="219">
        <v>14.0067</v>
      </c>
      <c r="AJ18" s="219">
        <v>10.81</v>
      </c>
      <c r="AK18" s="219">
        <v>54.938043999999998</v>
      </c>
      <c r="AL18" s="219">
        <v>26.981539999999999</v>
      </c>
      <c r="AM18" s="219">
        <v>51.996099999999998</v>
      </c>
      <c r="AN18" s="219">
        <v>95.95</v>
      </c>
      <c r="AO18" s="220">
        <v>47.866999999999997</v>
      </c>
      <c r="AP18" s="220">
        <v>50.941499999999998</v>
      </c>
      <c r="AQ18" s="220">
        <v>92.906369999999995</v>
      </c>
      <c r="AR18" s="220">
        <v>183.84</v>
      </c>
      <c r="AS18" s="220">
        <v>180.94788</v>
      </c>
      <c r="AT18" s="220">
        <v>91.224000000000004</v>
      </c>
      <c r="AU18" s="220">
        <v>58.933194999999998</v>
      </c>
      <c r="AV18" s="220">
        <v>24.305</v>
      </c>
      <c r="AW18" s="219">
        <v>121.76</v>
      </c>
      <c r="AX18" s="219">
        <v>207.2</v>
      </c>
      <c r="AY18" s="219">
        <v>118.71</v>
      </c>
    </row>
    <row r="19" spans="1:51" ht="21" x14ac:dyDescent="0.35">
      <c r="A19" s="89"/>
      <c r="B19" s="217">
        <f>100*((((B18)*(AA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67.417694620826921</v>
      </c>
      <c r="C19" s="217">
        <f>100*((((C18)*(AB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0.76296386072290756</v>
      </c>
      <c r="D19" s="217">
        <f>100*((((D18)*(AC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1.598575130831684</v>
      </c>
      <c r="E19" s="217">
        <f>100*((((E18)*(AD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F19" s="217">
        <f>100*((((F18)*(AE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G19" s="217">
        <f>100*((((G18)*(AF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3.0179118298538254</v>
      </c>
      <c r="H19" s="217">
        <f>100*((((H18)*(AG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5.5894235343765183E-3</v>
      </c>
      <c r="I19" s="217">
        <f>100*((((I18)*(AH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1.1178847068753035E-3</v>
      </c>
      <c r="J19" s="217">
        <f>100*((((J18)*(AI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1.1178847068753035E-3</v>
      </c>
      <c r="K19" s="217">
        <f>100*((((K18)*(AJ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1.6768270603129557E-3</v>
      </c>
      <c r="L19" s="217">
        <f>100*((((L18)*(AK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0.559662577007775</v>
      </c>
      <c r="M19" s="217">
        <f>100*((((M18)*(AL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N19" s="217">
        <f>100*((((N18)*(AM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26.36316186168461</v>
      </c>
      <c r="O19" s="217">
        <f>100*((((O18)*(AN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0.21239809430630766</v>
      </c>
      <c r="P19" s="217">
        <f>100*((((P18)*(AO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Q19" s="217">
        <f>100*((((Q18)*(AP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5.8130004757515785E-2</v>
      </c>
      <c r="R19" s="217">
        <f>100*((((R18)*(AQ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S19" s="217">
        <f>100*((((S18)*(AR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T19" s="217">
        <f>100*((((T18)*(AS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U19" s="217">
        <f>100*((((U18)*(AT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V19" s="217">
        <f>100*((((V18)*(AU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W19" s="217">
        <f>100*((((W18)*(AV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X19" s="219">
        <f>100*((((X18)*(AW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Y19" s="219">
        <f>100*((((Y18)*(AX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Z19" s="219">
        <f>100*((((Z18)*(AY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</row>
    <row r="20" spans="1:51" ht="21" x14ac:dyDescent="0.35">
      <c r="A20" s="89"/>
      <c r="B20" s="89"/>
      <c r="C20" s="89"/>
      <c r="D20" s="89"/>
      <c r="E20" s="89">
        <f>E19/'opt 3'!G6</f>
        <v>0</v>
      </c>
      <c r="F20" s="89">
        <f>F19/'opt 3'!G6</f>
        <v>0</v>
      </c>
      <c r="G20" s="89">
        <f>G19/'opt 3'!G6</f>
        <v>1.0529517076392769</v>
      </c>
      <c r="H20" s="89">
        <f>H19/'opt 3'!G6</f>
        <v>1.9501540757491183E-3</v>
      </c>
      <c r="I20" s="89">
        <f>I19/'opt 3'!G6</f>
        <v>3.9003081514982359E-4</v>
      </c>
      <c r="J20" s="89"/>
      <c r="K20" s="89"/>
      <c r="L20" s="89">
        <f>L19/'opt 3'!G6</f>
        <v>0.195266694120311</v>
      </c>
      <c r="M20" s="89">
        <f>M19/'opt 3'!G6</f>
        <v>0</v>
      </c>
      <c r="N20" s="89">
        <f>N19/'opt 3'!G6</f>
        <v>9.1981270050477253</v>
      </c>
      <c r="O20" s="89">
        <f>O19/'opt 3'!G6</f>
        <v>7.4105854878466479E-2</v>
      </c>
      <c r="P20" s="89">
        <f>P19/'opt 3'!G6</f>
        <v>0</v>
      </c>
      <c r="Q20" s="89">
        <f>Q19/'opt 3'!G6</f>
        <v>2.028160238779083E-2</v>
      </c>
      <c r="R20" s="89">
        <f>R19/'opt 3'!G6</f>
        <v>0</v>
      </c>
      <c r="S20" s="89">
        <f>S19/'opt 3'!G6</f>
        <v>0</v>
      </c>
      <c r="T20" s="89">
        <f>T19/'opt 3'!G6</f>
        <v>0</v>
      </c>
      <c r="U20" s="89">
        <f>U19/'opt 3'!G6</f>
        <v>0</v>
      </c>
      <c r="V20" s="89">
        <f>V19/'opt 3'!G6</f>
        <v>0</v>
      </c>
      <c r="W20" s="89">
        <f>W19/'opt 3'!G6</f>
        <v>0</v>
      </c>
      <c r="X20" s="89">
        <f>X19/'opt 3'!G6</f>
        <v>0</v>
      </c>
      <c r="Y20" s="89">
        <f>Y19/'opt 3'!G6</f>
        <v>0</v>
      </c>
      <c r="Z20" s="89">
        <f>Z19/'opt 3'!G6</f>
        <v>0</v>
      </c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</row>
    <row r="21" spans="1:51" ht="21" x14ac:dyDescent="0.3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</row>
    <row r="22" spans="1:51" ht="21" x14ac:dyDescent="0.3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</row>
    <row r="23" spans="1:51" ht="21" x14ac:dyDescent="0.3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</row>
    <row r="24" spans="1:51" ht="21" x14ac:dyDescent="0.3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</row>
    <row r="25" spans="1:51" ht="21" x14ac:dyDescent="0.3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</row>
  </sheetData>
  <pageMargins left="0.7" right="0.7" top="0.75" bottom="0.75" header="0.3" footer="0.3"/>
  <pageSetup paperSize="9" orientation="portrait" verticalDpi="597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606F0-3E64-4BF4-9D00-874629D30BA5}">
  <dimension ref="A1:AX5"/>
  <sheetViews>
    <sheetView zoomScale="136" zoomScaleNormal="136" workbookViewId="0">
      <selection activeCell="Z2" sqref="Z2:AX2"/>
    </sheetView>
  </sheetViews>
  <sheetFormatPr baseColWidth="10" defaultRowHeight="15" x14ac:dyDescent="0.25"/>
  <cols>
    <col min="2" max="2" width="12" customWidth="1"/>
    <col min="4" max="4" width="10.42578125" customWidth="1"/>
    <col min="5" max="5" width="9" customWidth="1"/>
    <col min="6" max="6" width="9.7109375" customWidth="1"/>
    <col min="7" max="7" width="7.28515625" customWidth="1"/>
    <col min="8" max="8" width="10.85546875" customWidth="1"/>
    <col min="9" max="9" width="17.140625" customWidth="1"/>
    <col min="10" max="10" width="12.5703125" customWidth="1"/>
    <col min="11" max="11" width="10.140625" customWidth="1"/>
    <col min="12" max="12" width="7.28515625" customWidth="1"/>
    <col min="13" max="14" width="6.85546875" customWidth="1"/>
  </cols>
  <sheetData>
    <row r="1" spans="1:50" ht="18" x14ac:dyDescent="0.25">
      <c r="A1" s="210" t="s">
        <v>14</v>
      </c>
      <c r="B1" s="210" t="s">
        <v>15</v>
      </c>
      <c r="C1" s="210" t="s">
        <v>8</v>
      </c>
      <c r="D1" s="210" t="s">
        <v>9</v>
      </c>
      <c r="E1" s="210" t="s">
        <v>234</v>
      </c>
      <c r="F1" s="210" t="s">
        <v>56</v>
      </c>
      <c r="G1" s="210" t="s">
        <v>57</v>
      </c>
      <c r="H1" s="210" t="s">
        <v>58</v>
      </c>
      <c r="I1" s="210" t="s">
        <v>77</v>
      </c>
      <c r="J1" s="210" t="s">
        <v>204</v>
      </c>
      <c r="K1" s="210" t="s">
        <v>16</v>
      </c>
      <c r="L1" s="210" t="s">
        <v>12</v>
      </c>
      <c r="M1" s="210" t="s">
        <v>44</v>
      </c>
      <c r="N1" s="210" t="s">
        <v>55</v>
      </c>
      <c r="O1" s="210" t="s">
        <v>17</v>
      </c>
      <c r="P1" s="210" t="s">
        <v>80</v>
      </c>
      <c r="Q1" s="210" t="s">
        <v>81</v>
      </c>
      <c r="R1" s="210" t="s">
        <v>82</v>
      </c>
      <c r="S1" s="210" t="s">
        <v>83</v>
      </c>
      <c r="T1" s="210" t="s">
        <v>45</v>
      </c>
      <c r="U1" s="210" t="s">
        <v>43</v>
      </c>
      <c r="V1" s="210" t="s">
        <v>13</v>
      </c>
      <c r="W1" s="210" t="s">
        <v>0</v>
      </c>
      <c r="X1" s="210" t="s">
        <v>11</v>
      </c>
      <c r="Y1" s="210" t="s">
        <v>10</v>
      </c>
      <c r="Z1" s="210" t="s">
        <v>14</v>
      </c>
      <c r="AA1" s="210" t="s">
        <v>15</v>
      </c>
      <c r="AB1" s="210" t="s">
        <v>8</v>
      </c>
      <c r="AC1" s="210" t="s">
        <v>9</v>
      </c>
      <c r="AD1" s="210" t="s">
        <v>234</v>
      </c>
      <c r="AE1" s="210" t="s">
        <v>56</v>
      </c>
      <c r="AF1" s="210" t="s">
        <v>57</v>
      </c>
      <c r="AG1" s="210" t="s">
        <v>58</v>
      </c>
      <c r="AH1" s="210" t="s">
        <v>77</v>
      </c>
      <c r="AI1" s="210" t="s">
        <v>204</v>
      </c>
      <c r="AJ1" s="210" t="s">
        <v>16</v>
      </c>
      <c r="AK1" s="210" t="s">
        <v>12</v>
      </c>
      <c r="AL1" s="210" t="s">
        <v>44</v>
      </c>
      <c r="AM1" s="210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13</v>
      </c>
      <c r="AV1" s="210" t="s">
        <v>0</v>
      </c>
      <c r="AW1" s="210" t="s">
        <v>11</v>
      </c>
      <c r="AX1" s="210" t="s">
        <v>10</v>
      </c>
    </row>
    <row r="2" spans="1:50" ht="18.75" x14ac:dyDescent="0.3">
      <c r="A2" s="36">
        <f>100-B2-C2-D2-E2-F2-G2-H2-I2-J2-K2-L2-M2-N2-O2-P2-Q2-R2-S2-T2-U2-V2-W2-X2-Y2</f>
        <v>92.840162287943627</v>
      </c>
      <c r="B2" s="37">
        <f>'Tab1EQ 1_2'!C5</f>
        <v>1.741591189035695</v>
      </c>
      <c r="C2" s="37">
        <f>'Tab1EQ 1_2'!D5</f>
        <v>1.3390140731654472</v>
      </c>
      <c r="D2" s="37">
        <f>'Tab1EQ 1_2'!E5</f>
        <v>0</v>
      </c>
      <c r="E2" s="37">
        <f>'Tab1EQ 1_2'!F5</f>
        <v>0</v>
      </c>
      <c r="F2" s="37">
        <f>'Tab1EQ 1_2'!G5</f>
        <v>0.93961664760434727</v>
      </c>
      <c r="G2" s="37">
        <f>'Tab1EQ 1_2'!H5</f>
        <v>0</v>
      </c>
      <c r="H2" s="37">
        <f>'Tab1EQ 1_2'!I5</f>
        <v>0</v>
      </c>
      <c r="I2" s="37">
        <f>'Tab1EQ 1_2'!J5</f>
        <v>0</v>
      </c>
      <c r="J2" s="37">
        <f>'Tab1EQ 1_2'!K5</f>
        <v>0</v>
      </c>
      <c r="K2" s="37">
        <f>'Tab1EQ 1_2'!L5</f>
        <v>1.6006086588236572</v>
      </c>
      <c r="L2" s="37">
        <f>'Tab1EQ 1_2'!M5</f>
        <v>0</v>
      </c>
      <c r="M2" s="37">
        <f>'Tab1EQ 1_2'!N5</f>
        <v>1.3740766327042508</v>
      </c>
      <c r="N2" s="37">
        <f>'Tab1EQ 1_2'!O5</f>
        <v>0.10882959025400381</v>
      </c>
      <c r="O2" s="37">
        <f>'Tab1EQ 1_2'!P5</f>
        <v>0</v>
      </c>
      <c r="P2" s="37">
        <f>'Tab1EQ 1_2'!Q5</f>
        <v>5.6100920468972061E-2</v>
      </c>
      <c r="Q2" s="37">
        <f>'Tab1EQ 1_2'!R5</f>
        <v>0</v>
      </c>
      <c r="R2" s="37">
        <f>'Tab1EQ 1_2'!S5</f>
        <v>0</v>
      </c>
      <c r="S2" s="37">
        <f>'Tab1EQ 1_2'!T5</f>
        <v>0</v>
      </c>
      <c r="T2" s="37">
        <f>'Tab1EQ 1_2'!U5</f>
        <v>0</v>
      </c>
      <c r="U2" s="37">
        <f>'Tab1EQ 1_2'!V5</f>
        <v>0</v>
      </c>
      <c r="V2" s="37">
        <f>'Tab1EQ 1_2'!W5</f>
        <v>0</v>
      </c>
      <c r="W2" s="37">
        <f>'Tab1EQ 1_2'!X5</f>
        <v>0</v>
      </c>
      <c r="X2" s="37">
        <f>'Tab1EQ 1_2'!Y5</f>
        <v>0</v>
      </c>
      <c r="Y2" s="37">
        <f>'Tab1EQ 1_2'!Z5</f>
        <v>0</v>
      </c>
      <c r="Z2" s="68">
        <v>55.84</v>
      </c>
      <c r="AA2" s="7">
        <v>28.0855</v>
      </c>
      <c r="AB2" s="7">
        <v>58.693399999999997</v>
      </c>
      <c r="AC2" s="7">
        <v>63.545999999999999</v>
      </c>
      <c r="AD2" s="7">
        <v>65.38</v>
      </c>
      <c r="AE2" s="7">
        <v>12.01</v>
      </c>
      <c r="AF2" s="7">
        <v>30.973762000000001</v>
      </c>
      <c r="AG2" s="7">
        <v>32.064999999999998</v>
      </c>
      <c r="AH2" s="7">
        <v>14.0067</v>
      </c>
      <c r="AI2" s="7">
        <v>10.81</v>
      </c>
      <c r="AJ2" s="7">
        <v>54.938043999999998</v>
      </c>
      <c r="AK2" s="7">
        <v>26.981539999999999</v>
      </c>
      <c r="AL2" s="7">
        <v>51.996099999999998</v>
      </c>
      <c r="AM2" s="7">
        <v>95.95</v>
      </c>
      <c r="AN2">
        <v>47.866999999999997</v>
      </c>
      <c r="AO2">
        <v>50.941499999999998</v>
      </c>
      <c r="AP2">
        <v>92.906369999999995</v>
      </c>
      <c r="AQ2">
        <v>183.84</v>
      </c>
      <c r="AR2">
        <v>180.94788</v>
      </c>
      <c r="AS2">
        <v>91.224000000000004</v>
      </c>
      <c r="AT2">
        <v>58.933194999999998</v>
      </c>
      <c r="AU2">
        <v>24.305</v>
      </c>
      <c r="AV2" s="7">
        <v>121.76</v>
      </c>
      <c r="AW2" s="7">
        <v>207.2</v>
      </c>
      <c r="AX2" s="7">
        <v>118.71</v>
      </c>
    </row>
    <row r="3" spans="1:50" ht="18.75" x14ac:dyDescent="0.3">
      <c r="A3" s="36">
        <f>100*((((A2)*(Z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94.332432355284283</v>
      </c>
      <c r="B3" s="36">
        <f>100*((((B2)*(AA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0.89003710221410315</v>
      </c>
      <c r="C3" s="36">
        <f>100*((((C2)*(AB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1.4300596136698511</v>
      </c>
      <c r="D3" s="36">
        <f>100*((((D2)*(AC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E3" s="36">
        <f>100*((((E2)*(AD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F3" s="36">
        <f>100*((((F2)*(AE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0.20533994550961771</v>
      </c>
      <c r="G3" s="36">
        <f>100*((((G2)*(AF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H3" s="36">
        <f>100*((((H2)*(AG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I3" s="36">
        <f>100*((((I2)*(AH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J3" s="36">
        <f>100*((((J2)*(AI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K3" s="36">
        <f>100*((((K2)*(AJ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1.6000667006096232</v>
      </c>
      <c r="L3" s="36">
        <f>100*((((L2)*(AK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M3" s="36">
        <f>100*((((M2)*(AL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1.3000541942453192</v>
      </c>
      <c r="N3" s="36">
        <f>100*((((N2)*(AM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0.19000792069739278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W2))+((X2)/(AW2))+((Y2)/(AX2)))))</f>
        <v>0</v>
      </c>
      <c r="P3" s="36">
        <f>100*((((P2)*(AO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5.2002167769812764E-2</v>
      </c>
      <c r="Q3" s="36">
        <f>100*((((Q2)*(AP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R3" s="36">
        <f>100*((((R2)*(AQ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S3" s="36">
        <f>100*((((S2)*(AR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T3" s="36">
        <f>100*((((T2)*(AS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U3" s="36">
        <f>100*((((U2)*(AT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V3" s="36">
        <f>100*((((V2)*(AU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W3" s="7">
        <f>100*((((W2)*(AV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X3" s="7">
        <f>100*((((X2)*(AW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Y3" s="7">
        <f>100*((((Y2)*(AX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Z3" s="68">
        <v>55.84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50" ht="15.75" x14ac:dyDescent="0.25">
      <c r="A4" s="8"/>
    </row>
    <row r="5" spans="1:50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0B635-5718-4282-93AB-9A5FBB14B052}">
  <dimension ref="A1:AX4"/>
  <sheetViews>
    <sheetView zoomScale="86" zoomScaleNormal="86" workbookViewId="0">
      <selection activeCell="M33" sqref="M33"/>
    </sheetView>
  </sheetViews>
  <sheetFormatPr baseColWidth="10" defaultRowHeight="15" x14ac:dyDescent="0.25"/>
  <cols>
    <col min="1" max="1" width="15.85546875" customWidth="1"/>
    <col min="2" max="2" width="14.42578125" customWidth="1"/>
    <col min="3" max="3" width="16.28515625" customWidth="1"/>
  </cols>
  <sheetData>
    <row r="1" spans="1:50" ht="18" x14ac:dyDescent="0.25">
      <c r="A1" s="210" t="s">
        <v>14</v>
      </c>
      <c r="B1" s="210" t="s">
        <v>15</v>
      </c>
      <c r="C1" s="210" t="s">
        <v>8</v>
      </c>
      <c r="D1" s="210" t="s">
        <v>9</v>
      </c>
      <c r="E1" s="210" t="s">
        <v>234</v>
      </c>
      <c r="F1" s="210" t="s">
        <v>56</v>
      </c>
      <c r="G1" s="210" t="s">
        <v>57</v>
      </c>
      <c r="H1" s="210" t="s">
        <v>58</v>
      </c>
      <c r="I1" s="210" t="s">
        <v>77</v>
      </c>
      <c r="J1" s="210" t="s">
        <v>204</v>
      </c>
      <c r="K1" s="210" t="s">
        <v>16</v>
      </c>
      <c r="L1" s="210" t="s">
        <v>12</v>
      </c>
      <c r="M1" s="210" t="s">
        <v>44</v>
      </c>
      <c r="N1" s="210" t="s">
        <v>55</v>
      </c>
      <c r="O1" s="210" t="s">
        <v>17</v>
      </c>
      <c r="P1" s="210" t="s">
        <v>80</v>
      </c>
      <c r="Q1" s="210" t="s">
        <v>81</v>
      </c>
      <c r="R1" s="210" t="s">
        <v>82</v>
      </c>
      <c r="S1" s="210" t="s">
        <v>83</v>
      </c>
      <c r="T1" s="210" t="s">
        <v>45</v>
      </c>
      <c r="U1" s="210" t="s">
        <v>43</v>
      </c>
      <c r="V1" s="210" t="s">
        <v>13</v>
      </c>
      <c r="W1" s="210" t="s">
        <v>0</v>
      </c>
      <c r="X1" s="210" t="s">
        <v>11</v>
      </c>
      <c r="Y1" s="210" t="s">
        <v>10</v>
      </c>
      <c r="Z1" s="210" t="s">
        <v>14</v>
      </c>
      <c r="AA1" s="210" t="s">
        <v>15</v>
      </c>
      <c r="AB1" s="210" t="s">
        <v>8</v>
      </c>
      <c r="AC1" s="210" t="s">
        <v>9</v>
      </c>
      <c r="AD1" s="210" t="s">
        <v>234</v>
      </c>
      <c r="AE1" s="210" t="s">
        <v>56</v>
      </c>
      <c r="AF1" s="210" t="s">
        <v>57</v>
      </c>
      <c r="AG1" s="210" t="s">
        <v>58</v>
      </c>
      <c r="AH1" s="210" t="s">
        <v>77</v>
      </c>
      <c r="AI1" s="210" t="s">
        <v>204</v>
      </c>
      <c r="AJ1" s="210" t="s">
        <v>16</v>
      </c>
      <c r="AK1" s="210" t="s">
        <v>12</v>
      </c>
      <c r="AL1" s="210" t="s">
        <v>44</v>
      </c>
      <c r="AM1" s="210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13</v>
      </c>
      <c r="AV1" s="210" t="s">
        <v>0</v>
      </c>
      <c r="AW1" s="210" t="s">
        <v>11</v>
      </c>
      <c r="AX1" s="210" t="s">
        <v>10</v>
      </c>
    </row>
    <row r="2" spans="1:50" ht="23.25" x14ac:dyDescent="0.35">
      <c r="A2" s="36">
        <f>100-B2-C2-D2-E2-F2-G2-H2-I2-J2-K2-L2-M2-N2-O2-P2-Q2-R2-S2-T2-U2-V2-W2-X2-Y2</f>
        <v>60.217028380634382</v>
      </c>
      <c r="B2" s="71">
        <f>'1.0330_3'!C6</f>
        <v>1.335559265442404</v>
      </c>
      <c r="C2" s="71">
        <f>'1.0330_3'!D6</f>
        <v>0</v>
      </c>
      <c r="D2" s="71">
        <f>'1.0330_3'!E6</f>
        <v>0</v>
      </c>
      <c r="E2" s="71">
        <f>'1.0330_3'!F6</f>
        <v>0</v>
      </c>
      <c r="F2" s="71">
        <f>'1.0330_3'!G6</f>
        <v>12.353923205342237</v>
      </c>
      <c r="G2" s="71">
        <f>'1.0330_3'!H6</f>
        <v>0</v>
      </c>
      <c r="H2" s="71">
        <f>'1.0330_3'!I6</f>
        <v>0</v>
      </c>
      <c r="I2" s="71">
        <f>'1.0330_3'!J6</f>
        <v>0</v>
      </c>
      <c r="J2" s="71">
        <f>'1.0330_3'!K6</f>
        <v>0</v>
      </c>
      <c r="K2" s="71">
        <f>'1.0330_3'!L6</f>
        <v>0.5008347245409015</v>
      </c>
      <c r="L2" s="71">
        <f>'1.0330_3'!M6</f>
        <v>0</v>
      </c>
      <c r="M2" s="71">
        <f>'1.0330_3'!N6</f>
        <v>25.091819699499169</v>
      </c>
      <c r="N2" s="71">
        <f>'1.0330_3'!O6</f>
        <v>0.5008347245409015</v>
      </c>
      <c r="O2" s="71">
        <f>'1.0330_3'!P6</f>
        <v>0</v>
      </c>
      <c r="P2" s="71">
        <f>'1.0330_3'!Q6</f>
        <v>0</v>
      </c>
      <c r="Q2" s="71">
        <f>'1.0330_3'!R6</f>
        <v>0</v>
      </c>
      <c r="R2" s="71">
        <f>'1.0330_3'!S6</f>
        <v>0</v>
      </c>
      <c r="S2" s="71">
        <f>'1.0330_3'!T6</f>
        <v>0</v>
      </c>
      <c r="T2" s="71">
        <f>'1.0330_3'!U6</f>
        <v>0</v>
      </c>
      <c r="U2" s="71">
        <f>'1.0330_3'!V6</f>
        <v>0</v>
      </c>
      <c r="V2" s="71">
        <f>'1.0330_3'!W6</f>
        <v>0</v>
      </c>
      <c r="W2" s="71">
        <f>'1.0330_3'!X6</f>
        <v>0</v>
      </c>
      <c r="X2" s="71">
        <f>'1.0330_3'!Y6</f>
        <v>0</v>
      </c>
      <c r="Y2" s="71">
        <f>'1.0330_3'!Z6</f>
        <v>0</v>
      </c>
      <c r="Z2" s="68">
        <v>55.84</v>
      </c>
      <c r="AA2" s="7">
        <v>28.0855</v>
      </c>
      <c r="AB2" s="7">
        <v>58.693399999999997</v>
      </c>
      <c r="AC2" s="7">
        <v>63.545999999999999</v>
      </c>
      <c r="AD2" s="7">
        <v>65.38</v>
      </c>
      <c r="AE2" s="7">
        <v>12.01</v>
      </c>
      <c r="AF2" s="7">
        <v>30.973762000000001</v>
      </c>
      <c r="AG2" s="7">
        <v>32.064999999999998</v>
      </c>
      <c r="AH2" s="7">
        <v>14.0067</v>
      </c>
      <c r="AI2" s="7">
        <v>10.81</v>
      </c>
      <c r="AJ2" s="7">
        <v>54.938043999999998</v>
      </c>
      <c r="AK2" s="7">
        <v>26.981539999999999</v>
      </c>
      <c r="AL2" s="7">
        <v>51.996099999999998</v>
      </c>
      <c r="AM2" s="7">
        <v>95.95</v>
      </c>
      <c r="AN2">
        <v>47.866999999999997</v>
      </c>
      <c r="AO2">
        <v>50.941499999999998</v>
      </c>
      <c r="AP2">
        <v>92.906369999999995</v>
      </c>
      <c r="AQ2">
        <v>183.84</v>
      </c>
      <c r="AR2">
        <v>180.94788</v>
      </c>
      <c r="AS2">
        <v>91.224000000000004</v>
      </c>
      <c r="AT2">
        <v>58.933194999999998</v>
      </c>
      <c r="AU2">
        <v>24.305</v>
      </c>
      <c r="AV2" s="7">
        <v>121.76</v>
      </c>
      <c r="AW2" s="7">
        <v>207.2</v>
      </c>
      <c r="AX2" s="7">
        <v>118.71</v>
      </c>
    </row>
    <row r="3" spans="1:50" ht="18.75" x14ac:dyDescent="0.3">
      <c r="A3" s="36">
        <f>100*((((A2)*(Z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68.223987210895487</v>
      </c>
      <c r="B3" s="36">
        <f>100*((((B2)*(AA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0.76105788919333284</v>
      </c>
      <c r="C3" s="36">
        <f>100*((((C2)*(AB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D3" s="36">
        <f>100*((((D2)*(AC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E3" s="36">
        <f>100*((((E2)*(AD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F3" s="36">
        <f>100*((((F2)*(AE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3.0103727387872867</v>
      </c>
      <c r="G3" s="36">
        <f>100*((((G2)*(AF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H3" s="36">
        <f>100*((((H2)*(AG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I3" s="36">
        <f>100*((((I2)*(AH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J3" s="36">
        <f>100*((((J2)*(AI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K3" s="36">
        <f>100*((((K2)*(AJ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0.55826447548179381</v>
      </c>
      <c r="L3" s="36">
        <f>100*((((L2)*(AK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M3" s="36">
        <f>100*((((M2)*(AL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26.471301603480914</v>
      </c>
      <c r="N3" s="36">
        <f>100*((((N2)*(AM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0.97501608216117241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W2))+((X2)/(AW2))+((Y2)/(AX2)))))</f>
        <v>0</v>
      </c>
      <c r="P3" s="36">
        <f>100*((((P2)*(AO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Q3" s="36">
        <f>100*((((Q2)*(AP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R3" s="36">
        <f>100*((((R2)*(AQ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S3" s="36">
        <f>100*((((S2)*(AR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T3" s="36">
        <f>100*((((T2)*(AS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U3" s="36">
        <f>100*((((U2)*(AT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V3" s="36">
        <f>100*((((V2)*(AU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W3" s="7">
        <f>100*((((W2)*(AV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X3" s="7">
        <f>100*((((X2)*(AW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Y3" s="7">
        <f>100*((((Y2)*(AX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Z3" s="68">
        <v>55.84</v>
      </c>
      <c r="AA3" s="7">
        <v>95.94</v>
      </c>
      <c r="AB3" s="7">
        <v>183.85</v>
      </c>
      <c r="AC3" s="7">
        <v>58.933199999999999</v>
      </c>
      <c r="AD3" s="7">
        <v>63.54</v>
      </c>
      <c r="AE3" s="7">
        <v>12.01</v>
      </c>
      <c r="AF3" s="7">
        <v>28.085000000000001</v>
      </c>
      <c r="AG3" s="7">
        <v>47.88</v>
      </c>
      <c r="AH3" s="7">
        <v>58.692999999999998</v>
      </c>
      <c r="AI3" s="7">
        <v>51.99</v>
      </c>
      <c r="AJ3" s="7">
        <v>54.93</v>
      </c>
      <c r="AK3" s="7">
        <v>92.9</v>
      </c>
      <c r="AL3" s="7">
        <v>14.0067</v>
      </c>
      <c r="AM3" s="7">
        <v>26.981539999999999</v>
      </c>
    </row>
    <row r="4" spans="1:50" ht="15.75" x14ac:dyDescent="0.25">
      <c r="A4" s="8"/>
      <c r="B4" s="9"/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05B4-FFF5-4B0C-80BF-F93D9B7F24ED}">
  <dimension ref="A1:AZ24"/>
  <sheetViews>
    <sheetView zoomScale="93" zoomScaleNormal="93" workbookViewId="0">
      <selection activeCell="C5" sqref="C5:R7"/>
    </sheetView>
  </sheetViews>
  <sheetFormatPr baseColWidth="10" defaultColWidth="8.7109375" defaultRowHeight="15" x14ac:dyDescent="0.25"/>
  <cols>
    <col min="1" max="1" width="24.42578125" customWidth="1"/>
    <col min="2" max="2" width="18" customWidth="1"/>
    <col min="3" max="3" width="11.140625" customWidth="1"/>
    <col min="4" max="4" width="8.28515625" customWidth="1"/>
    <col min="5" max="5" width="6.140625" customWidth="1"/>
    <col min="6" max="6" width="10.28515625" customWidth="1"/>
    <col min="7" max="7" width="5.7109375" customWidth="1"/>
    <col min="8" max="8" width="6.5703125" customWidth="1"/>
    <col min="9" max="9" width="9.42578125" customWidth="1"/>
    <col min="10" max="10" width="12.7109375" customWidth="1"/>
    <col min="11" max="11" width="10" customWidth="1"/>
    <col min="12" max="13" width="6" customWidth="1"/>
    <col min="14" max="14" width="5.85546875" customWidth="1"/>
    <col min="15" max="15" width="5.42578125" customWidth="1"/>
    <col min="16" max="16" width="18" customWidth="1"/>
    <col min="17" max="26" width="12.7109375" bestFit="1" customWidth="1"/>
  </cols>
  <sheetData>
    <row r="1" spans="1:52" ht="21" x14ac:dyDescent="0.35">
      <c r="A1" s="89" t="s">
        <v>34</v>
      </c>
      <c r="B1" s="89"/>
      <c r="C1" s="89">
        <f>C5-C2</f>
        <v>-0.72160161187874683</v>
      </c>
      <c r="D1" s="89">
        <f>D4-D2</f>
        <v>0.47203841155429938</v>
      </c>
      <c r="E1" s="89">
        <f>E2-E5</f>
        <v>0</v>
      </c>
      <c r="F1" s="89">
        <f>F4-F2</f>
        <v>0</v>
      </c>
      <c r="G1" s="89">
        <f t="shared" ref="G1:O1" si="0">G4-G2</f>
        <v>-12.031283688101697</v>
      </c>
      <c r="H1" s="89">
        <f t="shared" si="0"/>
        <v>3.1275669727000694E-3</v>
      </c>
      <c r="I1" s="89">
        <f>I4-I2</f>
        <v>6.0422588524230427E-4</v>
      </c>
      <c r="J1" s="89">
        <f>J5-J2</f>
        <v>0</v>
      </c>
      <c r="K1" s="89">
        <f>K5-K2</f>
        <v>0</v>
      </c>
      <c r="L1" s="89">
        <f t="shared" si="0"/>
        <v>6.3422801927845218E-2</v>
      </c>
      <c r="M1" s="89">
        <f t="shared" si="0"/>
        <v>7.9714062992365697E-4</v>
      </c>
      <c r="N1" s="89">
        <f t="shared" si="0"/>
        <v>-24.624115285141944</v>
      </c>
      <c r="O1" s="89">
        <f t="shared" si="0"/>
        <v>-0.46246937204526883</v>
      </c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</row>
    <row r="2" spans="1:52" ht="21" x14ac:dyDescent="0.35">
      <c r="A2" s="89" t="s">
        <v>37</v>
      </c>
      <c r="B2" s="138">
        <f>100-C2-D2-E2-F2-G2-H2-I2-J2-K2-L2-M2-N2-O2</f>
        <v>60.200333889816356</v>
      </c>
      <c r="C2" s="89">
        <f>'1.0330_3'!C7</f>
        <v>1.335559265442404</v>
      </c>
      <c r="D2" s="89">
        <f>'1.0330_3'!D7</f>
        <v>0</v>
      </c>
      <c r="E2" s="89">
        <f>'1.0330_3'!E7</f>
        <v>0</v>
      </c>
      <c r="F2" s="89">
        <f>'1.0330_3'!F7</f>
        <v>0</v>
      </c>
      <c r="G2" s="89">
        <f>'1.0330_3'!G7</f>
        <v>12.353923205342237</v>
      </c>
      <c r="H2" s="89">
        <f>'1.0330_3'!H7</f>
        <v>0</v>
      </c>
      <c r="I2" s="89">
        <f>'1.0330_3'!I7</f>
        <v>0</v>
      </c>
      <c r="J2" s="89">
        <f>'1.0330_3'!J7</f>
        <v>0</v>
      </c>
      <c r="K2" s="89">
        <f>'1.0330_3'!K7</f>
        <v>0</v>
      </c>
      <c r="L2" s="89">
        <f>'1.0330_3'!L7</f>
        <v>0.5008347245409015</v>
      </c>
      <c r="M2" s="89">
        <f>'1.0330_3'!M7</f>
        <v>0</v>
      </c>
      <c r="N2" s="89">
        <f>'1.0330_3'!N7</f>
        <v>25.108514190317194</v>
      </c>
      <c r="O2" s="89">
        <f>'1.0330_3'!O7</f>
        <v>0.5008347245409015</v>
      </c>
      <c r="P2" s="89">
        <f>'1.0330_3'!P7</f>
        <v>0</v>
      </c>
      <c r="Q2" s="89">
        <f>'1.0330_3'!Q7</f>
        <v>0</v>
      </c>
      <c r="R2" s="89">
        <f>'1.0330_3'!R7</f>
        <v>0</v>
      </c>
      <c r="S2" s="89">
        <f>'1.0330_3'!S7</f>
        <v>0</v>
      </c>
      <c r="T2" s="89">
        <f>'1.0330_3'!T7</f>
        <v>0</v>
      </c>
      <c r="U2" s="89">
        <f>'1.0330_3'!U7</f>
        <v>0</v>
      </c>
      <c r="V2" s="89">
        <f>'1.0330_3'!V7</f>
        <v>0</v>
      </c>
      <c r="W2" s="89">
        <f>'1.0330_3'!W7</f>
        <v>0</v>
      </c>
      <c r="X2" s="89">
        <f>'1.0330_3'!X7</f>
        <v>0</v>
      </c>
      <c r="Y2" s="89">
        <f>'1.0330_3'!Y7</f>
        <v>0</v>
      </c>
      <c r="Z2" s="89">
        <f>'1.0330_3'!Z7</f>
        <v>0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</row>
    <row r="3" spans="1:52" ht="21" x14ac:dyDescent="0.35">
      <c r="A3" s="89"/>
      <c r="B3" s="210" t="s">
        <v>14</v>
      </c>
      <c r="C3" s="210" t="s">
        <v>15</v>
      </c>
      <c r="D3" s="210" t="s">
        <v>8</v>
      </c>
      <c r="E3" s="210" t="s">
        <v>9</v>
      </c>
      <c r="F3" s="210" t="s">
        <v>234</v>
      </c>
      <c r="G3" s="210" t="s">
        <v>56</v>
      </c>
      <c r="H3" s="210" t="s">
        <v>57</v>
      </c>
      <c r="I3" s="210" t="s">
        <v>58</v>
      </c>
      <c r="J3" s="210" t="s">
        <v>77</v>
      </c>
      <c r="K3" s="210" t="s">
        <v>204</v>
      </c>
      <c r="L3" s="210" t="s">
        <v>16</v>
      </c>
      <c r="M3" s="210" t="s">
        <v>12</v>
      </c>
      <c r="N3" s="210" t="s">
        <v>44</v>
      </c>
      <c r="O3" s="210" t="s">
        <v>55</v>
      </c>
      <c r="P3" s="210" t="s">
        <v>17</v>
      </c>
      <c r="Q3" s="210" t="s">
        <v>80</v>
      </c>
      <c r="R3" s="210" t="s">
        <v>81</v>
      </c>
      <c r="S3" s="210" t="s">
        <v>82</v>
      </c>
      <c r="T3" s="210" t="s">
        <v>83</v>
      </c>
      <c r="U3" s="210" t="s">
        <v>45</v>
      </c>
      <c r="V3" s="210" t="s">
        <v>43</v>
      </c>
      <c r="W3" s="210" t="s">
        <v>13</v>
      </c>
      <c r="X3" s="210" t="s">
        <v>0</v>
      </c>
      <c r="Y3" s="210" t="s">
        <v>11</v>
      </c>
      <c r="Z3" s="210" t="s">
        <v>10</v>
      </c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</row>
    <row r="4" spans="1:52" ht="21" x14ac:dyDescent="0.35">
      <c r="A4" s="89" t="s">
        <v>35</v>
      </c>
      <c r="B4" s="89">
        <f>100-C4-D4-E4-F4-G4-H4-I4-J4-K4-L4-M4-N4-O4-P4-Q4-R4-S4-T4-U4-V4-W4-X4-Y4-Z4</f>
        <v>97.475964974291898</v>
      </c>
      <c r="C4" s="89">
        <f>'opt 4'!C56</f>
        <v>0.61395765356365717</v>
      </c>
      <c r="D4" s="89">
        <f>'opt 4'!D56</f>
        <v>0.47203841155429938</v>
      </c>
      <c r="E4" s="89">
        <f>'opt 4'!E56</f>
        <v>0</v>
      </c>
      <c r="F4" s="89">
        <f>'opt 4'!F56</f>
        <v>0</v>
      </c>
      <c r="G4" s="89">
        <f>'opt 4'!G56</f>
        <v>0.32263951724054096</v>
      </c>
      <c r="H4" s="89">
        <f>'opt 4'!H56</f>
        <v>3.1275669727000694E-3</v>
      </c>
      <c r="I4" s="89">
        <f>'opt 4'!I56</f>
        <v>6.0422588524230427E-4</v>
      </c>
      <c r="J4" s="89">
        <f>'opt 4'!J56</f>
        <v>1.3832310972816213E-3</v>
      </c>
      <c r="K4" s="89">
        <f>'opt 4'!K56</f>
        <v>2.6884139237226394E-3</v>
      </c>
      <c r="L4" s="89">
        <f>'opt 4'!L56</f>
        <v>0.56425752646874672</v>
      </c>
      <c r="M4" s="89">
        <f>'opt 4'!M56</f>
        <v>7.9714062992365697E-4</v>
      </c>
      <c r="N4" s="89">
        <f>'opt 4'!N56</f>
        <v>0.4843989051752503</v>
      </c>
      <c r="O4" s="89">
        <f>'opt 4'!O56</f>
        <v>3.8365352495632644E-2</v>
      </c>
      <c r="P4" s="89">
        <f>'opt 4'!P56</f>
        <v>0</v>
      </c>
      <c r="Q4" s="89">
        <f>'opt 4'!Q56</f>
        <v>1.9777080701104465E-2</v>
      </c>
      <c r="R4" s="89">
        <f>'opt 4'!R56</f>
        <v>0</v>
      </c>
      <c r="S4" s="89">
        <f>'opt 4'!S56</f>
        <v>0</v>
      </c>
      <c r="T4" s="89">
        <f>'opt 4'!T56</f>
        <v>0</v>
      </c>
      <c r="U4" s="89">
        <f>'opt 4'!U56</f>
        <v>0</v>
      </c>
      <c r="V4" s="89">
        <f>'opt 4'!V56</f>
        <v>0</v>
      </c>
      <c r="W4" s="89">
        <f>'opt 4'!W56</f>
        <v>0</v>
      </c>
      <c r="X4" s="89">
        <f>'opt 4'!X56</f>
        <v>0</v>
      </c>
      <c r="Y4" s="89">
        <f>'opt 4'!Y56</f>
        <v>0</v>
      </c>
      <c r="Z4" s="89">
        <f>'opt 4'!Z56</f>
        <v>0</v>
      </c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</row>
    <row r="5" spans="1:52" ht="21" x14ac:dyDescent="0.35">
      <c r="A5" s="89" t="s">
        <v>36</v>
      </c>
      <c r="B5" s="89">
        <f>100-C5-D5-E5-F5-G5-H5-I5-J5-K5-L5-M5-N5-O5</f>
        <v>97.475964974291884</v>
      </c>
      <c r="C5" s="149">
        <f>C4</f>
        <v>0.61395765356365717</v>
      </c>
      <c r="D5" s="158"/>
      <c r="E5" s="159"/>
      <c r="F5" s="159"/>
      <c r="G5" s="159">
        <f>G4+D4+E4+F4+H4+I4+J4+K4+M4+V4</f>
        <v>0.80327850730371075</v>
      </c>
      <c r="H5" s="159"/>
      <c r="I5" s="159"/>
      <c r="J5" s="149"/>
      <c r="K5" s="149"/>
      <c r="L5" s="7">
        <f>L4</f>
        <v>0.56425752646874672</v>
      </c>
      <c r="M5" s="7"/>
      <c r="N5" s="7">
        <f>N4+P4+Q4+R4+S4+T4+U4+W4+X4+Y4+Z4</f>
        <v>0.50417598587635482</v>
      </c>
      <c r="O5" s="7">
        <f>O4</f>
        <v>3.8365352495632644E-2</v>
      </c>
      <c r="P5" s="7"/>
      <c r="Q5" s="7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</row>
    <row r="6" spans="1:52" ht="21" x14ac:dyDescent="0.35">
      <c r="A6" s="89"/>
      <c r="B6" s="8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</row>
    <row r="7" spans="1:52" ht="21" x14ac:dyDescent="0.35">
      <c r="A7" s="89" t="s">
        <v>92</v>
      </c>
      <c r="B7" s="139">
        <f>100-C7-D7-E7-F7-G7-H7-I7-J7-K7-L7-M7-N7-O7-P7-Q7-R7-S7-T7-U7-V7-W7-X7-Y7-Z7</f>
        <v>61.201584685121531</v>
      </c>
      <c r="C7" s="156">
        <f>C2</f>
        <v>1.335559265442404</v>
      </c>
      <c r="D7" s="156"/>
      <c r="E7" s="156"/>
      <c r="F7" s="156"/>
      <c r="G7" s="156">
        <f>G2-D4-E4-F4-H4-I4-J4-K4-M4-V4</f>
        <v>11.873284215279066</v>
      </c>
      <c r="H7" s="156"/>
      <c r="I7" s="156"/>
      <c r="J7" s="156"/>
      <c r="K7" s="156"/>
      <c r="L7" s="156">
        <f>L2</f>
        <v>0.5008347245409015</v>
      </c>
      <c r="M7" s="156">
        <f>M2</f>
        <v>0</v>
      </c>
      <c r="N7" s="156">
        <f>N2-P4-Q4-R4-S4-T4-U4-W4-X4-Y4-Z4</f>
        <v>25.08873710961609</v>
      </c>
      <c r="O7" s="156"/>
      <c r="P7" s="156"/>
      <c r="Q7" s="156"/>
      <c r="R7" s="177"/>
      <c r="S7" s="177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</row>
    <row r="8" spans="1:52" ht="21" x14ac:dyDescent="0.35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</row>
    <row r="9" spans="1:52" ht="21" x14ac:dyDescent="0.35">
      <c r="A9" s="89"/>
      <c r="B9" s="89"/>
      <c r="C9" s="89"/>
      <c r="D9" s="89"/>
      <c r="E9" s="89"/>
      <c r="F9" s="89" t="s">
        <v>7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</row>
    <row r="10" spans="1:52" ht="21" x14ac:dyDescent="0.35">
      <c r="A10" s="89" t="s">
        <v>32</v>
      </c>
      <c r="B10" s="180"/>
      <c r="C10" s="180"/>
      <c r="D10" s="89"/>
      <c r="E10" s="180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</row>
    <row r="11" spans="1:52" ht="21" x14ac:dyDescent="0.35">
      <c r="A11" s="89" t="s">
        <v>33</v>
      </c>
      <c r="B11" s="181"/>
      <c r="C11" s="181"/>
      <c r="D11" s="89"/>
      <c r="E11" s="181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</row>
    <row r="12" spans="1:52" ht="21" x14ac:dyDescent="0.35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</row>
    <row r="13" spans="1:52" ht="21" x14ac:dyDescent="0.35">
      <c r="A13" s="89"/>
      <c r="B13" s="89" t="s">
        <v>14</v>
      </c>
      <c r="C13" s="180" t="s">
        <v>56</v>
      </c>
      <c r="D13" s="180" t="s">
        <v>15</v>
      </c>
      <c r="E13" s="181" t="s">
        <v>8</v>
      </c>
      <c r="F13" s="180" t="s">
        <v>9</v>
      </c>
      <c r="G13" s="180" t="s">
        <v>57</v>
      </c>
      <c r="H13" s="181" t="s">
        <v>58</v>
      </c>
      <c r="I13" s="180" t="s">
        <v>77</v>
      </c>
      <c r="J13" s="181" t="s">
        <v>13</v>
      </c>
      <c r="K13" s="180" t="s">
        <v>16</v>
      </c>
      <c r="L13" s="180" t="s">
        <v>55</v>
      </c>
      <c r="M13" s="181" t="s">
        <v>44</v>
      </c>
      <c r="N13" s="181" t="s">
        <v>10</v>
      </c>
      <c r="O13" s="180" t="s">
        <v>12</v>
      </c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</row>
    <row r="14" spans="1:52" ht="21" x14ac:dyDescent="0.35">
      <c r="A14" s="89" t="s">
        <v>39</v>
      </c>
      <c r="B14" s="89">
        <f>100-(C14+D14+E14+F14+G14+H14+I14+J14+K14+L14+M14+N14+O14)</f>
        <v>97.226401773967453</v>
      </c>
      <c r="C14" s="89">
        <f>C5-C1</f>
        <v>1.335559265442404</v>
      </c>
      <c r="D14" s="89">
        <f>D5-D1</f>
        <v>-0.47203841155429938</v>
      </c>
      <c r="E14" s="89">
        <f t="shared" ref="E14:I14" si="1">E5</f>
        <v>0</v>
      </c>
      <c r="F14" s="89">
        <f t="shared" si="1"/>
        <v>0</v>
      </c>
      <c r="G14" s="89">
        <f t="shared" si="1"/>
        <v>0.80327850730371075</v>
      </c>
      <c r="H14" s="89">
        <f t="shared" si="1"/>
        <v>0</v>
      </c>
      <c r="I14" s="89">
        <f t="shared" si="1"/>
        <v>0</v>
      </c>
      <c r="J14" s="89">
        <f>J5-J1</f>
        <v>0</v>
      </c>
      <c r="K14" s="89">
        <f>K5-K1</f>
        <v>0</v>
      </c>
      <c r="L14" s="89">
        <f t="shared" ref="L14:O14" si="2">L5</f>
        <v>0.56425752646874672</v>
      </c>
      <c r="M14" s="89">
        <f t="shared" si="2"/>
        <v>0</v>
      </c>
      <c r="N14" s="89">
        <f t="shared" si="2"/>
        <v>0.50417598587635482</v>
      </c>
      <c r="O14" s="89">
        <f t="shared" si="2"/>
        <v>3.8365352495632644E-2</v>
      </c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</row>
    <row r="15" spans="1:52" ht="21" x14ac:dyDescent="0.3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</row>
    <row r="16" spans="1:52" ht="21" x14ac:dyDescent="0.3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</row>
    <row r="17" spans="1:52" ht="21" x14ac:dyDescent="0.35">
      <c r="A17" s="89"/>
      <c r="B17" s="210" t="s">
        <v>14</v>
      </c>
      <c r="C17" s="210" t="s">
        <v>15</v>
      </c>
      <c r="D17" s="210" t="s">
        <v>8</v>
      </c>
      <c r="E17" s="210" t="s">
        <v>9</v>
      </c>
      <c r="F17" s="210" t="s">
        <v>234</v>
      </c>
      <c r="G17" s="210" t="s">
        <v>56</v>
      </c>
      <c r="H17" s="210" t="s">
        <v>57</v>
      </c>
      <c r="I17" s="210" t="s">
        <v>58</v>
      </c>
      <c r="J17" s="210" t="s">
        <v>77</v>
      </c>
      <c r="K17" s="210" t="s">
        <v>204</v>
      </c>
      <c r="L17" s="210" t="s">
        <v>16</v>
      </c>
      <c r="M17" s="210" t="s">
        <v>12</v>
      </c>
      <c r="N17" s="210" t="s">
        <v>44</v>
      </c>
      <c r="O17" s="210" t="s">
        <v>55</v>
      </c>
      <c r="P17" s="210" t="s">
        <v>17</v>
      </c>
      <c r="Q17" s="210" t="s">
        <v>80</v>
      </c>
      <c r="R17" s="210" t="s">
        <v>81</v>
      </c>
      <c r="S17" s="210" t="s">
        <v>82</v>
      </c>
      <c r="T17" s="210" t="s">
        <v>83</v>
      </c>
      <c r="U17" s="210" t="s">
        <v>45</v>
      </c>
      <c r="V17" s="210" t="s">
        <v>43</v>
      </c>
      <c r="W17" s="210" t="s">
        <v>13</v>
      </c>
      <c r="X17" s="210" t="s">
        <v>0</v>
      </c>
      <c r="Y17" s="210" t="s">
        <v>11</v>
      </c>
      <c r="Z17" s="210" t="s">
        <v>10</v>
      </c>
      <c r="AA17" s="211" t="s">
        <v>14</v>
      </c>
      <c r="AB17" s="212" t="s">
        <v>15</v>
      </c>
      <c r="AC17" s="213" t="s">
        <v>8</v>
      </c>
      <c r="AD17" s="214" t="s">
        <v>9</v>
      </c>
      <c r="AE17" s="213" t="s">
        <v>234</v>
      </c>
      <c r="AF17" s="213" t="s">
        <v>56</v>
      </c>
      <c r="AG17" s="214" t="s">
        <v>57</v>
      </c>
      <c r="AH17" s="213" t="s">
        <v>58</v>
      </c>
      <c r="AI17" s="215" t="s">
        <v>77</v>
      </c>
      <c r="AJ17" s="216" t="s">
        <v>204</v>
      </c>
      <c r="AK17" s="216" t="s">
        <v>16</v>
      </c>
      <c r="AL17" s="215" t="s">
        <v>12</v>
      </c>
      <c r="AM17" s="215" t="s">
        <v>44</v>
      </c>
      <c r="AN17" s="216" t="s">
        <v>55</v>
      </c>
      <c r="AO17" s="210" t="s">
        <v>17</v>
      </c>
      <c r="AP17" s="210" t="s">
        <v>80</v>
      </c>
      <c r="AQ17" s="210" t="s">
        <v>81</v>
      </c>
      <c r="AR17" s="210" t="s">
        <v>82</v>
      </c>
      <c r="AS17" s="210" t="s">
        <v>83</v>
      </c>
      <c r="AT17" s="210" t="s">
        <v>45</v>
      </c>
      <c r="AU17" s="210" t="s">
        <v>43</v>
      </c>
      <c r="AV17" s="210" t="s">
        <v>13</v>
      </c>
      <c r="AW17" s="210" t="s">
        <v>0</v>
      </c>
      <c r="AX17" s="210" t="s">
        <v>11</v>
      </c>
      <c r="AY17" s="210" t="s">
        <v>10</v>
      </c>
      <c r="AZ17" s="89"/>
    </row>
    <row r="18" spans="1:52" ht="21" x14ac:dyDescent="0.35">
      <c r="A18" s="89"/>
      <c r="B18" s="217">
        <f>100-C18-D18-E18-F18-G18-H18-I18-J18-K18-L18-M18-N18-O18-P18-Q18-R18-S18-T18-U18-V18-W18-X18-Y18-Z18</f>
        <v>60.663600402491568</v>
      </c>
      <c r="C18" s="218">
        <f>C7</f>
        <v>1.335559265442404</v>
      </c>
      <c r="D18" s="218">
        <f t="shared" ref="D18:Z18" si="3">D4</f>
        <v>0.47203841155429938</v>
      </c>
      <c r="E18" s="218">
        <f t="shared" si="3"/>
        <v>0</v>
      </c>
      <c r="F18" s="218">
        <f t="shared" si="3"/>
        <v>0</v>
      </c>
      <c r="G18" s="218">
        <f>G7</f>
        <v>11.873284215279066</v>
      </c>
      <c r="H18" s="218">
        <f t="shared" si="3"/>
        <v>3.1275669727000694E-3</v>
      </c>
      <c r="I18" s="218">
        <f>I4</f>
        <v>6.0422588524230427E-4</v>
      </c>
      <c r="J18" s="218">
        <f t="shared" si="3"/>
        <v>1.3832310972816213E-3</v>
      </c>
      <c r="K18" s="218">
        <f t="shared" si="3"/>
        <v>2.6884139237226394E-3</v>
      </c>
      <c r="L18" s="218">
        <f>L7</f>
        <v>0.5008347245409015</v>
      </c>
      <c r="M18" s="218">
        <f>M7</f>
        <v>0</v>
      </c>
      <c r="N18" s="218">
        <f>N7</f>
        <v>25.08873710961609</v>
      </c>
      <c r="O18" s="218">
        <f t="shared" si="3"/>
        <v>3.8365352495632644E-2</v>
      </c>
      <c r="P18" s="218">
        <f t="shared" si="3"/>
        <v>0</v>
      </c>
      <c r="Q18" s="218">
        <f t="shared" si="3"/>
        <v>1.9777080701104465E-2</v>
      </c>
      <c r="R18" s="218">
        <f t="shared" si="3"/>
        <v>0</v>
      </c>
      <c r="S18" s="218">
        <f t="shared" si="3"/>
        <v>0</v>
      </c>
      <c r="T18" s="218">
        <f t="shared" si="3"/>
        <v>0</v>
      </c>
      <c r="U18" s="218">
        <f t="shared" si="3"/>
        <v>0</v>
      </c>
      <c r="V18" s="218">
        <f t="shared" si="3"/>
        <v>0</v>
      </c>
      <c r="W18" s="218">
        <f t="shared" si="3"/>
        <v>0</v>
      </c>
      <c r="X18" s="218">
        <f t="shared" si="3"/>
        <v>0</v>
      </c>
      <c r="Y18" s="218">
        <f t="shared" si="3"/>
        <v>0</v>
      </c>
      <c r="Z18" s="218">
        <f t="shared" si="3"/>
        <v>0</v>
      </c>
      <c r="AA18" s="219">
        <v>55.84</v>
      </c>
      <c r="AB18" s="219">
        <v>28.0855</v>
      </c>
      <c r="AC18" s="219">
        <v>58.693399999999997</v>
      </c>
      <c r="AD18" s="219">
        <v>63.545999999999999</v>
      </c>
      <c r="AE18" s="219">
        <v>65.38</v>
      </c>
      <c r="AF18" s="219">
        <v>12.01</v>
      </c>
      <c r="AG18" s="219">
        <v>30.973762000000001</v>
      </c>
      <c r="AH18" s="219">
        <v>32.064999999999998</v>
      </c>
      <c r="AI18" s="219">
        <v>14.0067</v>
      </c>
      <c r="AJ18" s="219">
        <v>10.81</v>
      </c>
      <c r="AK18" s="219">
        <v>54.938043999999998</v>
      </c>
      <c r="AL18" s="219">
        <v>26.981539999999999</v>
      </c>
      <c r="AM18" s="219">
        <v>51.996099999999998</v>
      </c>
      <c r="AN18" s="219">
        <v>95.95</v>
      </c>
      <c r="AO18" s="220">
        <v>47.866999999999997</v>
      </c>
      <c r="AP18" s="220">
        <v>50.941499999999998</v>
      </c>
      <c r="AQ18" s="220">
        <v>92.906369999999995</v>
      </c>
      <c r="AR18" s="220">
        <v>183.84</v>
      </c>
      <c r="AS18" s="220">
        <v>180.94788</v>
      </c>
      <c r="AT18" s="220">
        <v>91.224000000000004</v>
      </c>
      <c r="AU18" s="220">
        <v>58.933194999999998</v>
      </c>
      <c r="AV18" s="220">
        <v>24.305</v>
      </c>
      <c r="AW18" s="219">
        <v>121.76</v>
      </c>
      <c r="AX18" s="219">
        <v>207.2</v>
      </c>
      <c r="AY18" s="219">
        <v>118.71</v>
      </c>
      <c r="AZ18" s="89"/>
    </row>
    <row r="19" spans="1:52" ht="21" x14ac:dyDescent="0.35">
      <c r="A19" s="89"/>
      <c r="B19" s="217">
        <f>100*((((B18)*(AA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68.681060707588259</v>
      </c>
      <c r="C19" s="217">
        <f>100*((((C18)*(AB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0.76051664988371204</v>
      </c>
      <c r="D19" s="217">
        <f>100*((((D18)*(AC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0.56173309346520262</v>
      </c>
      <c r="E19" s="217">
        <f>100*((((E18)*(AD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F19" s="217">
        <f>100*((((F18)*(AE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G19" s="217">
        <f>100*((((G18)*(AF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2.8911942607503036</v>
      </c>
      <c r="H19" s="217">
        <f>100*((((H18)*(AG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1.9641017254028066E-3</v>
      </c>
      <c r="I19" s="217">
        <f>100*((((I18)*(AH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3.9282034508056124E-4</v>
      </c>
      <c r="J19" s="217">
        <f>100*((((J18)*(AI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3.9282034508056124E-4</v>
      </c>
      <c r="K19" s="217">
        <f>100*((((K18)*(AJ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5.8923051762084196E-4</v>
      </c>
      <c r="L19" s="217">
        <f>100*((((L18)*(AK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0.55786745617014077</v>
      </c>
      <c r="M19" s="217">
        <f>100*((((M18)*(AL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N19" s="217">
        <f>100*((((N18)*(AM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26.449226335699709</v>
      </c>
      <c r="O19" s="217">
        <f>100*((((O18)*(AN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7.4635865565306631E-2</v>
      </c>
      <c r="P19" s="217">
        <f>100*((((P18)*(AO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Q19" s="217">
        <f>100*((((Q18)*(AP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2.0426657944189183E-2</v>
      </c>
      <c r="R19" s="217">
        <f>100*((((R18)*(AQ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S19" s="217">
        <f>100*((((S18)*(AR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T19" s="217">
        <f>100*((((T18)*(AS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U19" s="217">
        <f>100*((((U18)*(AT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V19" s="217">
        <f>100*((((V18)*(AU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W19" s="217">
        <f>100*((((W18)*(AV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X19" s="219">
        <f>100*((((X18)*(AW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Y19" s="219">
        <f>100*((((Y18)*(AX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Z19" s="219">
        <f>100*((((Z18)*(AY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89"/>
    </row>
    <row r="20" spans="1:52" ht="21" x14ac:dyDescent="0.35">
      <c r="A20" s="89"/>
      <c r="B20" s="89"/>
      <c r="C20" s="89"/>
      <c r="D20" s="89"/>
      <c r="E20" s="89">
        <f>E19/'[1]Zusetze opt 4'!G6</f>
        <v>0</v>
      </c>
      <c r="F20" s="89">
        <f>F19/'[1]Zusetze opt 4'!G6</f>
        <v>0</v>
      </c>
      <c r="G20" s="89">
        <f>G19/'[1]Zusetze opt 4'!G6</f>
        <v>2.809993876738289</v>
      </c>
      <c r="H20" s="89">
        <f>H19/'[1]Zusetze opt 4'!G6</f>
        <v>1.9089391178580685E-3</v>
      </c>
      <c r="I20" s="89">
        <f>I19/'[1]Zusetze opt 4'!G6</f>
        <v>3.817878235716136E-4</v>
      </c>
      <c r="J20" s="89"/>
      <c r="K20" s="89"/>
      <c r="L20" s="89">
        <f>L19/'[1]Zusetze opt 4'!G6</f>
        <v>0.54219951843113001</v>
      </c>
      <c r="M20" s="89">
        <f>M19/'[1]Zusetze opt 4'!G6</f>
        <v>0</v>
      </c>
      <c r="N20" s="89">
        <f>N19/'[1]Zusetze opt 4'!G6</f>
        <v>25.706388898438696</v>
      </c>
      <c r="O20" s="89">
        <f>O19/'[1]Zusetze opt 4'!G6</f>
        <v>7.2539686478606577E-2</v>
      </c>
      <c r="P20" s="89">
        <f>P19/'[1]Zusetze opt 4'!G6</f>
        <v>0</v>
      </c>
      <c r="Q20" s="89">
        <f>Q19/'[1]Zusetze opt 4'!G6</f>
        <v>1.9852966825723906E-2</v>
      </c>
      <c r="R20" s="89">
        <f>R19/'[1]Zusetze opt 4'!G6</f>
        <v>0</v>
      </c>
      <c r="S20" s="89">
        <f>S19/'[1]Zusetze opt 4'!G6</f>
        <v>0</v>
      </c>
      <c r="T20" s="89">
        <f>T19/'[1]Zusetze opt 4'!G6</f>
        <v>0</v>
      </c>
      <c r="U20" s="89">
        <f>U19/'[1]Zusetze opt 4'!G6</f>
        <v>0</v>
      </c>
      <c r="V20" s="89">
        <f>V19/'[1]Zusetze opt 4'!G6</f>
        <v>0</v>
      </c>
      <c r="W20" s="89">
        <f>W19/'[1]Zusetze opt 4'!G6</f>
        <v>0</v>
      </c>
      <c r="X20" s="89">
        <f>X19/'[1]Zusetze opt 4'!G6</f>
        <v>0</v>
      </c>
      <c r="Y20" s="89">
        <f>Y19/'[1]Zusetze opt 4'!G6</f>
        <v>0</v>
      </c>
      <c r="Z20" s="89">
        <f>Z19/'[1]Zusetze opt 4'!G6</f>
        <v>0</v>
      </c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</row>
    <row r="21" spans="1:52" ht="21" x14ac:dyDescent="0.3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</row>
    <row r="22" spans="1:52" ht="21" x14ac:dyDescent="0.3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</row>
    <row r="23" spans="1:52" ht="21" x14ac:dyDescent="0.3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</row>
    <row r="24" spans="1:52" ht="21" x14ac:dyDescent="0.3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</row>
  </sheetData>
  <pageMargins left="0.7" right="0.7" top="0.75" bottom="0.75" header="0.3" footer="0.3"/>
  <pageSetup paperSize="9" orientation="portrait" verticalDpi="597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8981-5E11-44AA-BFEF-8BD103DA0A6A}">
  <dimension ref="A1:BC26"/>
  <sheetViews>
    <sheetView zoomScale="89" zoomScaleNormal="89" workbookViewId="0">
      <selection activeCell="J6" sqref="J6"/>
    </sheetView>
  </sheetViews>
  <sheetFormatPr baseColWidth="10" defaultColWidth="8.7109375" defaultRowHeight="15" x14ac:dyDescent="0.25"/>
  <cols>
    <col min="1" max="1" width="24.42578125" customWidth="1"/>
    <col min="2" max="2" width="26.28515625" customWidth="1"/>
    <col min="3" max="3" width="11.140625" customWidth="1"/>
    <col min="4" max="4" width="8.28515625" customWidth="1"/>
    <col min="5" max="5" width="6.140625" customWidth="1"/>
    <col min="6" max="6" width="8.42578125" customWidth="1"/>
    <col min="7" max="7" width="10" customWidth="1"/>
    <col min="8" max="8" width="6.5703125" customWidth="1"/>
    <col min="9" max="9" width="13.85546875" customWidth="1"/>
    <col min="10" max="10" width="12.7109375" customWidth="1"/>
    <col min="11" max="11" width="11.140625" customWidth="1"/>
    <col min="12" max="12" width="9" customWidth="1"/>
    <col min="13" max="13" width="8.7109375" customWidth="1"/>
    <col min="14" max="14" width="8" customWidth="1"/>
    <col min="15" max="15" width="5.42578125" customWidth="1"/>
    <col min="16" max="26" width="12.7109375" bestFit="1" customWidth="1"/>
  </cols>
  <sheetData>
    <row r="1" spans="1:55" ht="21" x14ac:dyDescent="0.35">
      <c r="A1" s="89" t="s">
        <v>34</v>
      </c>
      <c r="B1" s="89"/>
      <c r="C1" s="89">
        <f>C5-C2</f>
        <v>1.7450459967587379</v>
      </c>
      <c r="D1" s="89">
        <f>D4-D2</f>
        <v>1.3390140731654472</v>
      </c>
      <c r="E1" s="89">
        <f>E2-E5</f>
        <v>0</v>
      </c>
      <c r="F1" s="89">
        <f>F4-F2</f>
        <v>0</v>
      </c>
      <c r="G1" s="89">
        <f t="shared" ref="G1:O1" si="0">G4-G2</f>
        <v>-11.438703503789</v>
      </c>
      <c r="H1" s="89">
        <f t="shared" si="0"/>
        <v>8.8718546811123438E-3</v>
      </c>
      <c r="I1" s="89">
        <f>I4-I2</f>
        <v>1.7139854382745025E-3</v>
      </c>
      <c r="J1" s="89">
        <f>J5-J2</f>
        <v>0</v>
      </c>
      <c r="K1" s="89">
        <f>K5-K2</f>
        <v>0</v>
      </c>
      <c r="L1" s="89">
        <f t="shared" si="0"/>
        <v>1.0997739342827557</v>
      </c>
      <c r="M1" s="89">
        <f t="shared" si="0"/>
        <v>2.2612196288118464E-3</v>
      </c>
      <c r="N1" s="89">
        <f t="shared" si="0"/>
        <v>-23.734437557612942</v>
      </c>
      <c r="O1" s="89">
        <f t="shared" si="0"/>
        <v>-0.39200513428689771</v>
      </c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 ht="21" x14ac:dyDescent="0.35">
      <c r="A2" s="89" t="s">
        <v>37</v>
      </c>
      <c r="B2" s="138">
        <f>100-C2-D2-E2-F2-G2-H2-I2-J2-K2-L2-M2-N2-O2</f>
        <v>60.200333889816356</v>
      </c>
      <c r="C2" s="89">
        <f>'1.0330_3'!C7</f>
        <v>1.335559265442404</v>
      </c>
      <c r="D2" s="89">
        <f>'1.0330_3'!D7</f>
        <v>0</v>
      </c>
      <c r="E2" s="89">
        <f>'1.0330_3'!E7</f>
        <v>0</v>
      </c>
      <c r="F2" s="89">
        <f>'1.0330_3'!F7</f>
        <v>0</v>
      </c>
      <c r="G2" s="89">
        <f>'1.0330_3'!G7</f>
        <v>12.353923205342237</v>
      </c>
      <c r="H2" s="89">
        <f>'1.0330_3'!H7</f>
        <v>0</v>
      </c>
      <c r="I2" s="89">
        <f>'1.0330_3'!I7</f>
        <v>0</v>
      </c>
      <c r="J2" s="89">
        <f>'1.0330_3'!J7</f>
        <v>0</v>
      </c>
      <c r="K2" s="89">
        <f>'1.0330_3'!K7</f>
        <v>0</v>
      </c>
      <c r="L2" s="89">
        <f>'1.0330_3'!L7</f>
        <v>0.5008347245409015</v>
      </c>
      <c r="M2" s="89">
        <f>'1.0330_3'!M7</f>
        <v>0</v>
      </c>
      <c r="N2" s="89">
        <f>'1.0330_3'!N7</f>
        <v>25.108514190317194</v>
      </c>
      <c r="O2" s="89">
        <f>'1.0330_3'!O7</f>
        <v>0.5008347245409015</v>
      </c>
      <c r="P2" s="89">
        <f>'1.0330_3'!P7</f>
        <v>0</v>
      </c>
      <c r="Q2" s="89">
        <f>'1.0330_3'!Q7</f>
        <v>0</v>
      </c>
      <c r="R2" s="89">
        <f>'1.0330_3'!R7</f>
        <v>0</v>
      </c>
      <c r="S2" s="89">
        <f>'1.0330_3'!S7</f>
        <v>0</v>
      </c>
      <c r="T2" s="89">
        <f>'1.0330_3'!T7</f>
        <v>0</v>
      </c>
      <c r="U2" s="89">
        <f>'1.0330_3'!U7</f>
        <v>0</v>
      </c>
      <c r="V2" s="89">
        <f>'1.0330_3'!V7</f>
        <v>0</v>
      </c>
      <c r="W2" s="89">
        <f>'1.0330_3'!W7</f>
        <v>0</v>
      </c>
      <c r="X2" s="89">
        <f>'1.0330_3'!X7</f>
        <v>0</v>
      </c>
      <c r="Y2" s="89">
        <f>'1.0330_3'!Y7</f>
        <v>0</v>
      </c>
      <c r="Z2" s="89">
        <f>'1.0330_3'!Z7</f>
        <v>0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</row>
    <row r="3" spans="1:55" ht="21" x14ac:dyDescent="0.35">
      <c r="A3" s="89"/>
      <c r="B3" s="210" t="s">
        <v>14</v>
      </c>
      <c r="C3" s="210" t="s">
        <v>15</v>
      </c>
      <c r="D3" s="210" t="s">
        <v>8</v>
      </c>
      <c r="E3" s="210" t="s">
        <v>9</v>
      </c>
      <c r="F3" s="210" t="s">
        <v>234</v>
      </c>
      <c r="G3" s="210" t="s">
        <v>56</v>
      </c>
      <c r="H3" s="210" t="s">
        <v>57</v>
      </c>
      <c r="I3" s="210" t="s">
        <v>58</v>
      </c>
      <c r="J3" s="210" t="s">
        <v>77</v>
      </c>
      <c r="K3" s="210" t="s">
        <v>204</v>
      </c>
      <c r="L3" s="210" t="s">
        <v>16</v>
      </c>
      <c r="M3" s="210" t="s">
        <v>12</v>
      </c>
      <c r="N3" s="210" t="s">
        <v>44</v>
      </c>
      <c r="O3" s="210" t="s">
        <v>55</v>
      </c>
      <c r="P3" s="210" t="s">
        <v>17</v>
      </c>
      <c r="Q3" s="210" t="s">
        <v>80</v>
      </c>
      <c r="R3" s="210" t="s">
        <v>81</v>
      </c>
      <c r="S3" s="210" t="s">
        <v>82</v>
      </c>
      <c r="T3" s="210" t="s">
        <v>83</v>
      </c>
      <c r="U3" s="210" t="s">
        <v>45</v>
      </c>
      <c r="V3" s="210" t="s">
        <v>43</v>
      </c>
      <c r="W3" s="210" t="s">
        <v>13</v>
      </c>
      <c r="X3" s="210" t="s">
        <v>0</v>
      </c>
      <c r="Y3" s="210" t="s">
        <v>11</v>
      </c>
      <c r="Z3" s="210" t="s">
        <v>10</v>
      </c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</row>
    <row r="4" spans="1:55" ht="21" x14ac:dyDescent="0.35">
      <c r="A4" s="89" t="s">
        <v>35</v>
      </c>
      <c r="B4" s="89">
        <f>100-C4-D4-E4-F4-G4-H4-I4-J4-K4-L4-M4-N4-O4-P4-Q4-R4-S4-T4-U4-V4-W4-X4-Y4-Z4</f>
        <v>92.840162287943642</v>
      </c>
      <c r="C4" s="89">
        <f>'opt 1'!B3</f>
        <v>1.741591189035695</v>
      </c>
      <c r="D4" s="89">
        <f>'opt 1'!C3</f>
        <v>1.3390140731654472</v>
      </c>
      <c r="E4" s="89">
        <f>'opt 1'!D3</f>
        <v>0</v>
      </c>
      <c r="F4" s="89">
        <f>'opt 1'!E3</f>
        <v>0</v>
      </c>
      <c r="G4" s="89">
        <f>'opt 1'!F3</f>
        <v>0.91521970155323784</v>
      </c>
      <c r="H4" s="89">
        <f>'opt 1'!G3</f>
        <v>8.8718546811123438E-3</v>
      </c>
      <c r="I4" s="89">
        <f>'opt 1'!H3</f>
        <v>1.7139854382745025E-3</v>
      </c>
      <c r="J4" s="89">
        <f>'opt 1'!I3</f>
        <v>3.9237609914021089E-3</v>
      </c>
      <c r="K4" s="89">
        <f>'opt 1'!J3</f>
        <v>7.6261253115085933E-3</v>
      </c>
      <c r="L4" s="89">
        <f>'opt 1'!K3</f>
        <v>1.6006086588236572</v>
      </c>
      <c r="M4" s="89">
        <f>'opt 1'!L3</f>
        <v>2.2612196288118464E-3</v>
      </c>
      <c r="N4" s="89">
        <f>'opt 1'!M3</f>
        <v>1.3740766327042508</v>
      </c>
      <c r="O4" s="89">
        <f>'opt 1'!N3</f>
        <v>0.10882959025400381</v>
      </c>
      <c r="P4" s="89">
        <f>'opt 1'!O3</f>
        <v>0</v>
      </c>
      <c r="Q4" s="89">
        <f>'opt 1'!P3</f>
        <v>5.6100920468972061E-2</v>
      </c>
      <c r="R4" s="89">
        <f>'opt 1'!Q3</f>
        <v>0</v>
      </c>
      <c r="S4" s="89">
        <f>'opt 1'!R3</f>
        <v>0</v>
      </c>
      <c r="T4" s="89">
        <f>'opt 1'!S3</f>
        <v>0</v>
      </c>
      <c r="U4" s="89">
        <f>'opt 1'!T3</f>
        <v>0</v>
      </c>
      <c r="V4" s="89">
        <f>'opt 1'!U3</f>
        <v>0</v>
      </c>
      <c r="W4" s="89">
        <f>'opt 1'!V3</f>
        <v>0</v>
      </c>
      <c r="X4" s="89">
        <f>'opt 1'!W3</f>
        <v>0</v>
      </c>
      <c r="Y4" s="89">
        <f>'opt 1'!X3</f>
        <v>0</v>
      </c>
      <c r="Z4" s="89">
        <f>'opt 1'!Y3</f>
        <v>0</v>
      </c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</row>
    <row r="5" spans="1:55" ht="21" x14ac:dyDescent="0.35">
      <c r="A5" s="89" t="s">
        <v>36</v>
      </c>
      <c r="B5" s="89">
        <f>100-C5-D5-E5-F5-G5-H5-I5-J5-K5-L5-M5-N5-O5</f>
        <v>57.667021226541678</v>
      </c>
      <c r="C5" s="149">
        <f>C4+D4+E4+F4</f>
        <v>3.0806052622011419</v>
      </c>
      <c r="D5" s="158"/>
      <c r="E5" s="159"/>
      <c r="F5" s="159"/>
      <c r="G5" s="159">
        <f>G2+H4+I4+J4+K4</f>
        <v>12.376058931764534</v>
      </c>
      <c r="H5" s="159"/>
      <c r="I5" s="159"/>
      <c r="J5" s="149"/>
      <c r="K5" s="149"/>
      <c r="L5" s="7">
        <f>L4</f>
        <v>1.6006086588236572</v>
      </c>
      <c r="M5" s="7">
        <f>M4+P4+Q4+R4+S4+T4+U4+V4+W4+X4+Y4+Z4</f>
        <v>5.8362140097783906E-2</v>
      </c>
      <c r="N5" s="7">
        <f>N2+O4</f>
        <v>25.217343780571198</v>
      </c>
      <c r="O5" s="7"/>
      <c r="P5" s="7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</row>
    <row r="6" spans="1:55" ht="21" x14ac:dyDescent="0.35">
      <c r="A6" s="89"/>
      <c r="B6" s="8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</row>
    <row r="7" spans="1:55" ht="21" x14ac:dyDescent="0.35">
      <c r="A7" s="89" t="s">
        <v>92</v>
      </c>
      <c r="B7" s="139">
        <f>100-C7-D7-E7-F7-G7-H7-I7-J7-K7-L7-M7-N7-O7-P7-Q7-R7-S7-T7-U7-V7-W7-X7-Y7-Z7</f>
        <v>62.22724892466799</v>
      </c>
      <c r="C7" s="156">
        <f>C2-D4-E4-F4</f>
        <v>-3.4548077230431851E-3</v>
      </c>
      <c r="D7" s="156">
        <f>D2</f>
        <v>0</v>
      </c>
      <c r="E7" s="156"/>
      <c r="F7" s="156"/>
      <c r="G7" s="156">
        <f>G2-H4-I4-J4-K4</f>
        <v>12.33178747891994</v>
      </c>
      <c r="H7" s="156"/>
      <c r="I7" s="156"/>
      <c r="J7" s="156"/>
      <c r="K7" s="156"/>
      <c r="L7" s="156">
        <f>L2</f>
        <v>0.5008347245409015</v>
      </c>
      <c r="M7" s="156">
        <f>M2-P4-Q4-R4-S4-T4-U4-V4-W4-X4-Y4-Z4</f>
        <v>-5.6100920468972061E-2</v>
      </c>
      <c r="N7" s="156">
        <f>N2-O4</f>
        <v>24.99968460006319</v>
      </c>
      <c r="O7" s="156"/>
      <c r="P7" s="156"/>
      <c r="Q7" s="177"/>
      <c r="R7" s="177"/>
      <c r="S7" s="177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</row>
    <row r="8" spans="1:55" ht="21" x14ac:dyDescent="0.35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</row>
    <row r="9" spans="1:55" ht="21" x14ac:dyDescent="0.35">
      <c r="A9" s="89"/>
      <c r="B9" s="89"/>
      <c r="C9" s="89"/>
      <c r="D9" s="89"/>
      <c r="E9" s="89"/>
      <c r="F9" s="89" t="s">
        <v>7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</row>
    <row r="10" spans="1:55" ht="21" x14ac:dyDescent="0.35">
      <c r="A10" s="89" t="s">
        <v>32</v>
      </c>
      <c r="B10" s="180"/>
      <c r="C10" s="180"/>
      <c r="D10" s="89"/>
      <c r="E10" s="180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</row>
    <row r="11" spans="1:55" ht="21" x14ac:dyDescent="0.35">
      <c r="A11" s="89" t="s">
        <v>33</v>
      </c>
      <c r="B11" s="181"/>
      <c r="C11" s="181"/>
      <c r="D11" s="89"/>
      <c r="E11" s="181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</row>
    <row r="12" spans="1:55" ht="21" x14ac:dyDescent="0.35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</row>
    <row r="13" spans="1:55" ht="21" x14ac:dyDescent="0.35">
      <c r="A13" s="89"/>
      <c r="B13" s="89" t="s">
        <v>14</v>
      </c>
      <c r="C13" s="180" t="s">
        <v>56</v>
      </c>
      <c r="D13" s="180" t="s">
        <v>15</v>
      </c>
      <c r="E13" s="181" t="s">
        <v>8</v>
      </c>
      <c r="F13" s="180" t="s">
        <v>9</v>
      </c>
      <c r="G13" s="180" t="s">
        <v>57</v>
      </c>
      <c r="H13" s="181" t="s">
        <v>58</v>
      </c>
      <c r="I13" s="180" t="s">
        <v>77</v>
      </c>
      <c r="J13" s="181" t="s">
        <v>13</v>
      </c>
      <c r="K13" s="180" t="s">
        <v>16</v>
      </c>
      <c r="L13" s="180" t="s">
        <v>55</v>
      </c>
      <c r="M13" s="181" t="s">
        <v>44</v>
      </c>
      <c r="N13" s="181" t="s">
        <v>10</v>
      </c>
      <c r="O13" s="180" t="s">
        <v>12</v>
      </c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</row>
    <row r="14" spans="1:55" ht="21" x14ac:dyDescent="0.35">
      <c r="A14" s="89" t="s">
        <v>39</v>
      </c>
      <c r="B14" s="89">
        <f>100-(C14+D14+E14+F14+G14+H14+I14+J14+K14+L14+M14+N14+O14)</f>
        <v>60.75108129646587</v>
      </c>
      <c r="C14" s="89">
        <f>C5-C1</f>
        <v>1.335559265442404</v>
      </c>
      <c r="D14" s="89">
        <f>D5-D1</f>
        <v>-1.3390140731654472</v>
      </c>
      <c r="E14" s="89">
        <f t="shared" ref="E14:I14" si="1">E5</f>
        <v>0</v>
      </c>
      <c r="F14" s="89">
        <f t="shared" si="1"/>
        <v>0</v>
      </c>
      <c r="G14" s="89">
        <f t="shared" si="1"/>
        <v>12.376058931764534</v>
      </c>
      <c r="H14" s="89">
        <f t="shared" si="1"/>
        <v>0</v>
      </c>
      <c r="I14" s="89">
        <f t="shared" si="1"/>
        <v>0</v>
      </c>
      <c r="J14" s="89">
        <f>J5-J1</f>
        <v>0</v>
      </c>
      <c r="K14" s="89">
        <f>K5-K1</f>
        <v>0</v>
      </c>
      <c r="L14" s="89">
        <f t="shared" ref="L14:O14" si="2">L5</f>
        <v>1.6006086588236572</v>
      </c>
      <c r="M14" s="89">
        <f t="shared" si="2"/>
        <v>5.8362140097783906E-2</v>
      </c>
      <c r="N14" s="89">
        <f t="shared" si="2"/>
        <v>25.217343780571198</v>
      </c>
      <c r="O14" s="89">
        <f t="shared" si="2"/>
        <v>0</v>
      </c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</row>
    <row r="15" spans="1:55" ht="21" x14ac:dyDescent="0.3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</row>
    <row r="16" spans="1:55" ht="21" x14ac:dyDescent="0.3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</row>
    <row r="17" spans="1:55" ht="21" x14ac:dyDescent="0.35">
      <c r="A17" s="89"/>
      <c r="B17" s="210" t="s">
        <v>14</v>
      </c>
      <c r="C17" s="210" t="s">
        <v>15</v>
      </c>
      <c r="D17" s="210" t="s">
        <v>8</v>
      </c>
      <c r="E17" s="210" t="s">
        <v>9</v>
      </c>
      <c r="F17" s="210" t="s">
        <v>234</v>
      </c>
      <c r="G17" s="210" t="s">
        <v>56</v>
      </c>
      <c r="H17" s="210" t="s">
        <v>57</v>
      </c>
      <c r="I17" s="210" t="s">
        <v>58</v>
      </c>
      <c r="J17" s="210" t="s">
        <v>77</v>
      </c>
      <c r="K17" s="210" t="s">
        <v>204</v>
      </c>
      <c r="L17" s="210" t="s">
        <v>16</v>
      </c>
      <c r="M17" s="210" t="s">
        <v>12</v>
      </c>
      <c r="N17" s="210" t="s">
        <v>44</v>
      </c>
      <c r="O17" s="210" t="s">
        <v>55</v>
      </c>
      <c r="P17" s="210" t="s">
        <v>17</v>
      </c>
      <c r="Q17" s="210" t="s">
        <v>80</v>
      </c>
      <c r="R17" s="210" t="s">
        <v>81</v>
      </c>
      <c r="S17" s="210" t="s">
        <v>82</v>
      </c>
      <c r="T17" s="210" t="s">
        <v>83</v>
      </c>
      <c r="U17" s="210" t="s">
        <v>45</v>
      </c>
      <c r="V17" s="210" t="s">
        <v>43</v>
      </c>
      <c r="W17" s="210" t="s">
        <v>13</v>
      </c>
      <c r="X17" s="210" t="s">
        <v>0</v>
      </c>
      <c r="Y17" s="210" t="s">
        <v>11</v>
      </c>
      <c r="Z17" s="210" t="s">
        <v>10</v>
      </c>
      <c r="AA17" s="211" t="s">
        <v>14</v>
      </c>
      <c r="AB17" s="212" t="s">
        <v>15</v>
      </c>
      <c r="AC17" s="213" t="s">
        <v>8</v>
      </c>
      <c r="AD17" s="214" t="s">
        <v>9</v>
      </c>
      <c r="AE17" s="213" t="s">
        <v>234</v>
      </c>
      <c r="AF17" s="213" t="s">
        <v>56</v>
      </c>
      <c r="AG17" s="214" t="s">
        <v>57</v>
      </c>
      <c r="AH17" s="213" t="s">
        <v>58</v>
      </c>
      <c r="AI17" s="215" t="s">
        <v>77</v>
      </c>
      <c r="AJ17" s="216" t="s">
        <v>204</v>
      </c>
      <c r="AK17" s="216" t="s">
        <v>16</v>
      </c>
      <c r="AL17" s="215" t="s">
        <v>12</v>
      </c>
      <c r="AM17" s="215" t="s">
        <v>44</v>
      </c>
      <c r="AN17" s="216" t="s">
        <v>55</v>
      </c>
      <c r="AO17" s="210" t="s">
        <v>17</v>
      </c>
      <c r="AP17" s="210" t="s">
        <v>80</v>
      </c>
      <c r="AQ17" s="210" t="s">
        <v>81</v>
      </c>
      <c r="AR17" s="210" t="s">
        <v>82</v>
      </c>
      <c r="AS17" s="210" t="s">
        <v>83</v>
      </c>
      <c r="AT17" s="210" t="s">
        <v>45</v>
      </c>
      <c r="AU17" s="210" t="s">
        <v>43</v>
      </c>
      <c r="AV17" s="210" t="s">
        <v>13</v>
      </c>
      <c r="AW17" s="210" t="s">
        <v>0</v>
      </c>
      <c r="AX17" s="210" t="s">
        <v>11</v>
      </c>
      <c r="AY17" s="210" t="s">
        <v>10</v>
      </c>
      <c r="AZ17" s="89"/>
      <c r="BA17" s="89"/>
      <c r="BB17" s="89"/>
      <c r="BC17" s="89"/>
    </row>
    <row r="18" spans="1:55" ht="21" x14ac:dyDescent="0.35">
      <c r="A18" s="89"/>
      <c r="B18" s="217">
        <f>100-C18-D18-E18-F18-G18-H18-I18-J18-K18-L18-M18-N18-O18-P18-Q18-R18-S18-T18-U18-V18-W18-X18-Y18-Z18</f>
        <v>60.701168614357279</v>
      </c>
      <c r="C18" s="218">
        <f>C7</f>
        <v>-3.4548077230431851E-3</v>
      </c>
      <c r="D18" s="218">
        <f t="shared" ref="D18:Z18" si="3">D4</f>
        <v>1.3390140731654472</v>
      </c>
      <c r="E18" s="218">
        <f t="shared" si="3"/>
        <v>0</v>
      </c>
      <c r="F18" s="218">
        <f t="shared" si="3"/>
        <v>0</v>
      </c>
      <c r="G18" s="218">
        <f>G7</f>
        <v>12.33178747891994</v>
      </c>
      <c r="H18" s="218">
        <f t="shared" si="3"/>
        <v>8.8718546811123438E-3</v>
      </c>
      <c r="I18" s="218">
        <f t="shared" si="3"/>
        <v>1.7139854382745025E-3</v>
      </c>
      <c r="J18" s="218">
        <f t="shared" si="3"/>
        <v>3.9237609914021089E-3</v>
      </c>
      <c r="K18" s="218">
        <f t="shared" si="3"/>
        <v>7.6261253115085933E-3</v>
      </c>
      <c r="L18" s="218">
        <f>L7</f>
        <v>0.5008347245409015</v>
      </c>
      <c r="M18" s="218">
        <f>M7</f>
        <v>-5.6100920468972061E-2</v>
      </c>
      <c r="N18" s="218">
        <f>N7</f>
        <v>24.99968460006319</v>
      </c>
      <c r="O18" s="218">
        <f t="shared" si="3"/>
        <v>0.10882959025400381</v>
      </c>
      <c r="P18" s="218">
        <f t="shared" si="3"/>
        <v>0</v>
      </c>
      <c r="Q18" s="218">
        <f t="shared" si="3"/>
        <v>5.6100920468972061E-2</v>
      </c>
      <c r="R18" s="218">
        <f t="shared" si="3"/>
        <v>0</v>
      </c>
      <c r="S18" s="218">
        <f t="shared" si="3"/>
        <v>0</v>
      </c>
      <c r="T18" s="218">
        <f t="shared" si="3"/>
        <v>0</v>
      </c>
      <c r="U18" s="218">
        <f t="shared" si="3"/>
        <v>0</v>
      </c>
      <c r="V18" s="218">
        <f t="shared" si="3"/>
        <v>0</v>
      </c>
      <c r="W18" s="218">
        <f t="shared" si="3"/>
        <v>0</v>
      </c>
      <c r="X18" s="218">
        <f t="shared" si="3"/>
        <v>0</v>
      </c>
      <c r="Y18" s="218">
        <f t="shared" si="3"/>
        <v>0</v>
      </c>
      <c r="Z18" s="218">
        <f t="shared" si="3"/>
        <v>0</v>
      </c>
      <c r="AA18" s="225">
        <v>55.84</v>
      </c>
      <c r="AB18" s="219">
        <v>28.0855</v>
      </c>
      <c r="AC18" s="219">
        <v>58.693399999999997</v>
      </c>
      <c r="AD18" s="219">
        <v>63.545999999999999</v>
      </c>
      <c r="AE18" s="219">
        <v>65.38</v>
      </c>
      <c r="AF18" s="219">
        <v>12.01</v>
      </c>
      <c r="AG18" s="219">
        <v>30.973762000000001</v>
      </c>
      <c r="AH18" s="219">
        <v>32.064999999999998</v>
      </c>
      <c r="AI18" s="219">
        <v>14.0067</v>
      </c>
      <c r="AJ18" s="219">
        <v>10.81</v>
      </c>
      <c r="AK18" s="219">
        <v>54.938043999999998</v>
      </c>
      <c r="AL18" s="219">
        <v>26.981539999999999</v>
      </c>
      <c r="AM18" s="219">
        <v>51.996099999999998</v>
      </c>
      <c r="AN18" s="219">
        <v>95.95</v>
      </c>
      <c r="AO18" s="220">
        <v>47.866999999999997</v>
      </c>
      <c r="AP18" s="220">
        <v>50.941499999999998</v>
      </c>
      <c r="AQ18" s="220">
        <v>92.906369999999995</v>
      </c>
      <c r="AR18" s="220">
        <v>183.84</v>
      </c>
      <c r="AS18" s="220">
        <v>180.94788</v>
      </c>
      <c r="AT18" s="220">
        <v>91.224000000000004</v>
      </c>
      <c r="AU18" s="220">
        <v>58.933194999999998</v>
      </c>
      <c r="AV18" s="220">
        <v>24.305</v>
      </c>
      <c r="AW18" s="219">
        <v>121.76</v>
      </c>
      <c r="AX18" s="219">
        <v>207.2</v>
      </c>
      <c r="AY18" s="219">
        <v>118.71</v>
      </c>
      <c r="AZ18" s="89"/>
      <c r="BA18" s="89"/>
      <c r="BB18" s="89"/>
      <c r="BC18" s="89"/>
    </row>
    <row r="19" spans="1:55" ht="21" x14ac:dyDescent="0.35">
      <c r="A19" s="89"/>
      <c r="B19" s="217">
        <f>100*((((B18)*(AA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68.395589260641657</v>
      </c>
      <c r="C19" s="217">
        <f>100*((((C18)*(AB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-1.957905270561857E-3</v>
      </c>
      <c r="D19" s="217">
        <f>100*((((D18)*(AC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1.585842466430569</v>
      </c>
      <c r="E19" s="217">
        <f>100*((((E18)*(AD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F19" s="217">
        <f>100*((((F18)*(AE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G19" s="217">
        <f>100*((((G18)*(AF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2.9885097210349385</v>
      </c>
      <c r="H19" s="217">
        <f>100*((((H18)*(AG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5.5449037287782143E-3</v>
      </c>
      <c r="I19" s="217">
        <f>100*((((I18)*(AH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1.1089807457556426E-3</v>
      </c>
      <c r="J19" s="217">
        <f>100*((((J18)*(AI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1.1089807457556426E-3</v>
      </c>
      <c r="K19" s="217">
        <f>100*((((K18)*(AJ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1.6634711186334643E-3</v>
      </c>
      <c r="L19" s="217">
        <f>100*((((L18)*(AK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0.55520485986113333</v>
      </c>
      <c r="M19" s="217">
        <f>100*((((M18)*(AL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-3.0543749874728007E-2</v>
      </c>
      <c r="N19" s="217">
        <f>100*((((N18)*(AM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26.229555670365201</v>
      </c>
      <c r="O19" s="217">
        <f>100*((((O18)*(AN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0.21070634169357208</v>
      </c>
      <c r="P19" s="217">
        <f>100*((((P18)*(AO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Q19" s="217">
        <f>100*((((Q18)*(AP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5.7666998779293419E-2</v>
      </c>
      <c r="R19" s="217">
        <f>100*((((R18)*(AQ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S19" s="217">
        <f>100*((((S18)*(AR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T19" s="217">
        <f>100*((((T18)*(AS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U19" s="217">
        <f>100*((((U18)*(AT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V19" s="217">
        <f>100*((((V18)*(AU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W19" s="217">
        <f>100*((((W18)*(AV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X19" s="219">
        <f>100*((((X18)*(AW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Y19" s="219">
        <f>100*((((Y18)*(AX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Z19" s="219">
        <f>100*((((Z18)*(AY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89"/>
      <c r="BA19" s="89"/>
      <c r="BB19" s="89"/>
      <c r="BC19" s="89"/>
    </row>
    <row r="20" spans="1:55" ht="21" x14ac:dyDescent="0.35">
      <c r="A20" s="89"/>
      <c r="B20" s="89"/>
      <c r="C20" s="89"/>
      <c r="D20" s="89"/>
      <c r="E20" s="89">
        <f>E19/'[1]Zusetze opt 4'!G6</f>
        <v>0</v>
      </c>
      <c r="F20" s="89">
        <f>F19/'[1]Zusetze opt 4'!G6</f>
        <v>0</v>
      </c>
      <c r="G20" s="89">
        <f>G19/'[1]Zusetze opt 4'!G6</f>
        <v>2.9045761921586397</v>
      </c>
      <c r="H20" s="89">
        <f>H19/'[1]Zusetze opt 4'!G6</f>
        <v>5.3891728191680114E-3</v>
      </c>
      <c r="I20" s="89">
        <f>I19/'[1]Zusetze opt 4'!G6</f>
        <v>1.0778345638336022E-3</v>
      </c>
      <c r="J20" s="89"/>
      <c r="K20" s="89"/>
      <c r="L20" s="89">
        <f>L19/'[1]Zusetze opt 4'!G6</f>
        <v>0.53961170223831723</v>
      </c>
      <c r="M20" s="89">
        <f>M19/'[1]Zusetze opt 4'!G6</f>
        <v>-2.9685916054059312E-2</v>
      </c>
      <c r="N20" s="89">
        <f>N19/'[1]Zusetze opt 4'!G6</f>
        <v>25.492887774398419</v>
      </c>
      <c r="O20" s="89">
        <f>O19/'[1]Zusetze opt 4'!G6</f>
        <v>0.20478856712838439</v>
      </c>
      <c r="P20" s="89">
        <f>P19/'[1]Zusetze opt 4'!G6</f>
        <v>0</v>
      </c>
      <c r="Q20" s="89">
        <f>Q19/'[1]Zusetze opt 4'!G6</f>
        <v>5.6047397319347311E-2</v>
      </c>
      <c r="R20" s="89">
        <f>R19/'[1]Zusetze opt 4'!G6</f>
        <v>0</v>
      </c>
      <c r="S20" s="89">
        <f>S19/'[1]Zusetze opt 4'!G6</f>
        <v>0</v>
      </c>
      <c r="T20" s="89">
        <f>T19/'[1]Zusetze opt 4'!G6</f>
        <v>0</v>
      </c>
      <c r="U20" s="89">
        <f>U19/'[1]Zusetze opt 4'!G6</f>
        <v>0</v>
      </c>
      <c r="V20" s="89">
        <f>V19/'[1]Zusetze opt 4'!G6</f>
        <v>0</v>
      </c>
      <c r="W20" s="89">
        <f>W19/'[1]Zusetze opt 4'!G6</f>
        <v>0</v>
      </c>
      <c r="X20" s="89">
        <f>X19/'[1]Zusetze opt 4'!G6</f>
        <v>0</v>
      </c>
      <c r="Y20" s="89">
        <f>Y19/'[1]Zusetze opt 4'!G6</f>
        <v>0</v>
      </c>
      <c r="Z20" s="89">
        <f>Z19/'[1]Zusetze opt 4'!G6</f>
        <v>0</v>
      </c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</row>
    <row r="21" spans="1:55" ht="21" x14ac:dyDescent="0.3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</row>
    <row r="22" spans="1:55" ht="21" x14ac:dyDescent="0.3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</row>
    <row r="23" spans="1:55" ht="21" x14ac:dyDescent="0.3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</row>
    <row r="24" spans="1:55" ht="21" x14ac:dyDescent="0.3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</row>
    <row r="25" spans="1:55" ht="21" x14ac:dyDescent="0.3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</row>
    <row r="26" spans="1:55" ht="21" x14ac:dyDescent="0.35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</row>
  </sheetData>
  <pageMargins left="0.7" right="0.7" top="0.75" bottom="0.75" header="0.3" footer="0.3"/>
  <pageSetup paperSize="9" orientation="portrait" verticalDpi="597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00486-4177-4DBC-853C-3D89F183BF30}">
  <dimension ref="A1:AX4"/>
  <sheetViews>
    <sheetView topLeftCell="D1" workbookViewId="0">
      <selection activeCell="B2" sqref="B2:Y2"/>
    </sheetView>
  </sheetViews>
  <sheetFormatPr baseColWidth="10" defaultRowHeight="15" x14ac:dyDescent="0.25"/>
  <cols>
    <col min="2" max="2" width="14.42578125" customWidth="1"/>
    <col min="3" max="3" width="16.28515625" customWidth="1"/>
  </cols>
  <sheetData>
    <row r="1" spans="1:50" ht="18" x14ac:dyDescent="0.25">
      <c r="A1" s="210" t="s">
        <v>14</v>
      </c>
      <c r="B1" s="210" t="s">
        <v>15</v>
      </c>
      <c r="C1" s="210" t="s">
        <v>8</v>
      </c>
      <c r="D1" s="210" t="s">
        <v>9</v>
      </c>
      <c r="E1" s="210" t="s">
        <v>234</v>
      </c>
      <c r="F1" s="210" t="s">
        <v>56</v>
      </c>
      <c r="G1" s="210" t="s">
        <v>57</v>
      </c>
      <c r="H1" s="210" t="s">
        <v>58</v>
      </c>
      <c r="I1" s="210" t="s">
        <v>77</v>
      </c>
      <c r="J1" s="210" t="s">
        <v>204</v>
      </c>
      <c r="K1" s="210" t="s">
        <v>16</v>
      </c>
      <c r="L1" s="210" t="s">
        <v>12</v>
      </c>
      <c r="M1" s="210" t="s">
        <v>44</v>
      </c>
      <c r="N1" s="210" t="s">
        <v>55</v>
      </c>
      <c r="O1" s="210" t="s">
        <v>17</v>
      </c>
      <c r="P1" s="210" t="s">
        <v>80</v>
      </c>
      <c r="Q1" s="210" t="s">
        <v>81</v>
      </c>
      <c r="R1" s="210" t="s">
        <v>82</v>
      </c>
      <c r="S1" s="210" t="s">
        <v>83</v>
      </c>
      <c r="T1" s="210" t="s">
        <v>45</v>
      </c>
      <c r="U1" s="210" t="s">
        <v>43</v>
      </c>
      <c r="V1" s="210" t="s">
        <v>13</v>
      </c>
      <c r="W1" s="210" t="s">
        <v>0</v>
      </c>
      <c r="X1" s="210" t="s">
        <v>11</v>
      </c>
      <c r="Y1" s="210" t="s">
        <v>10</v>
      </c>
      <c r="Z1" s="210" t="s">
        <v>14</v>
      </c>
      <c r="AA1" s="210" t="s">
        <v>15</v>
      </c>
      <c r="AB1" s="210" t="s">
        <v>8</v>
      </c>
      <c r="AC1" s="210" t="s">
        <v>9</v>
      </c>
      <c r="AD1" s="210" t="s">
        <v>234</v>
      </c>
      <c r="AE1" s="210" t="s">
        <v>56</v>
      </c>
      <c r="AF1" s="210" t="s">
        <v>57</v>
      </c>
      <c r="AG1" s="210" t="s">
        <v>58</v>
      </c>
      <c r="AH1" s="210" t="s">
        <v>77</v>
      </c>
      <c r="AI1" s="210" t="s">
        <v>204</v>
      </c>
      <c r="AJ1" s="210" t="s">
        <v>16</v>
      </c>
      <c r="AK1" s="210" t="s">
        <v>12</v>
      </c>
      <c r="AL1" s="210" t="s">
        <v>44</v>
      </c>
      <c r="AM1" s="210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13</v>
      </c>
      <c r="AV1" s="210" t="s">
        <v>0</v>
      </c>
      <c r="AW1" s="210" t="s">
        <v>11</v>
      </c>
      <c r="AX1" s="210" t="s">
        <v>10</v>
      </c>
    </row>
    <row r="2" spans="1:50" ht="23.25" x14ac:dyDescent="0.35">
      <c r="A2" s="36">
        <f>100-B2-C2-D2-E2-F2-G2-H2-I2-J2-K2-L2-M2-N2-O2-P2-Q2-R2-S2-T2-U2-V2-W2-X2-Y2</f>
        <v>60.200333889816356</v>
      </c>
      <c r="B2" s="71">
        <f>'1.0330_3'!C7</f>
        <v>1.335559265442404</v>
      </c>
      <c r="C2" s="71">
        <f>'1.0330_3'!D7</f>
        <v>0</v>
      </c>
      <c r="D2" s="71">
        <f>'1.0330_3'!E7</f>
        <v>0</v>
      </c>
      <c r="E2" s="71">
        <f>'1.0330_3'!F7</f>
        <v>0</v>
      </c>
      <c r="F2" s="71">
        <f>'1.0330_3'!G7</f>
        <v>12.353923205342237</v>
      </c>
      <c r="G2" s="71">
        <f>'1.0330_3'!H7</f>
        <v>0</v>
      </c>
      <c r="H2" s="71">
        <f>'1.0330_3'!I7</f>
        <v>0</v>
      </c>
      <c r="I2" s="71">
        <f>'1.0330_3'!J7</f>
        <v>0</v>
      </c>
      <c r="J2" s="71">
        <f>'1.0330_3'!K7</f>
        <v>0</v>
      </c>
      <c r="K2" s="71">
        <f>'1.0330_3'!L7</f>
        <v>0.5008347245409015</v>
      </c>
      <c r="L2" s="71">
        <f>'1.0330_3'!M7</f>
        <v>0</v>
      </c>
      <c r="M2" s="71">
        <f>'1.0330_3'!N7</f>
        <v>25.108514190317194</v>
      </c>
      <c r="N2" s="71">
        <f>'1.0330_3'!O7</f>
        <v>0.5008347245409015</v>
      </c>
      <c r="O2" s="71">
        <f>'1.0330_3'!P7</f>
        <v>0</v>
      </c>
      <c r="P2" s="71">
        <f>'1.0330_3'!Q7</f>
        <v>0</v>
      </c>
      <c r="Q2" s="71">
        <f>'1.0330_3'!R7</f>
        <v>0</v>
      </c>
      <c r="R2" s="71">
        <f>'1.0330_3'!S7</f>
        <v>0</v>
      </c>
      <c r="S2" s="71">
        <f>'1.0330_3'!T7</f>
        <v>0</v>
      </c>
      <c r="T2" s="71">
        <f>'1.0330_3'!U7</f>
        <v>0</v>
      </c>
      <c r="U2" s="71">
        <f>'1.0330_3'!V7</f>
        <v>0</v>
      </c>
      <c r="V2" s="71">
        <f>'1.0330_3'!W7</f>
        <v>0</v>
      </c>
      <c r="W2" s="71">
        <f>'1.0330_3'!X7</f>
        <v>0</v>
      </c>
      <c r="X2" s="71">
        <f>'1.0330_3'!Y7</f>
        <v>0</v>
      </c>
      <c r="Y2" s="71">
        <f>'1.0330_3'!Z7</f>
        <v>0</v>
      </c>
      <c r="Z2" s="68">
        <v>55.84</v>
      </c>
      <c r="AA2" s="7">
        <v>28.0855</v>
      </c>
      <c r="AB2" s="7">
        <v>58.693399999999997</v>
      </c>
      <c r="AC2" s="7">
        <v>63.545999999999999</v>
      </c>
      <c r="AD2" s="7">
        <v>65.38</v>
      </c>
      <c r="AE2" s="7">
        <v>12.01</v>
      </c>
      <c r="AF2" s="7">
        <v>30.973762000000001</v>
      </c>
      <c r="AG2" s="7">
        <v>32.064999999999998</v>
      </c>
      <c r="AH2" s="7">
        <v>14.0067</v>
      </c>
      <c r="AI2" s="7">
        <v>10.81</v>
      </c>
      <c r="AJ2" s="7">
        <v>54.938043999999998</v>
      </c>
      <c r="AK2" s="7">
        <v>26.981539999999999</v>
      </c>
      <c r="AL2" s="7">
        <v>51.996099999999998</v>
      </c>
      <c r="AM2" s="7">
        <v>95.95</v>
      </c>
      <c r="AN2">
        <v>47.866999999999997</v>
      </c>
      <c r="AO2">
        <v>50.941499999999998</v>
      </c>
      <c r="AP2">
        <v>92.906369999999995</v>
      </c>
      <c r="AQ2">
        <v>183.84</v>
      </c>
      <c r="AR2">
        <v>180.94788</v>
      </c>
      <c r="AS2">
        <v>91.224000000000004</v>
      </c>
      <c r="AT2">
        <v>58.933194999999998</v>
      </c>
      <c r="AU2">
        <v>24.305</v>
      </c>
      <c r="AV2" s="7">
        <v>121.76</v>
      </c>
      <c r="AW2" s="7">
        <v>207.2</v>
      </c>
      <c r="AX2" s="7">
        <v>118.71</v>
      </c>
    </row>
    <row r="3" spans="1:50" ht="18.75" x14ac:dyDescent="0.3">
      <c r="A3" s="36">
        <f>100*((((A2)*(Z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68.20596093639314</v>
      </c>
      <c r="B3" s="36">
        <f>100*((((B2)*(AA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0.76106779844761652</v>
      </c>
      <c r="C3" s="36">
        <f>100*((((C2)*(AB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D3" s="36">
        <f>100*((((D2)*(AC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E3" s="36">
        <f>100*((((E2)*(AD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F3" s="36">
        <f>100*((((F2)*(AE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3.0104119349501293</v>
      </c>
      <c r="G3" s="36">
        <f>100*((((G2)*(AF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H3" s="36">
        <f>100*((((H2)*(AG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I3" s="36">
        <f>100*((((I2)*(AH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J3" s="36">
        <f>100*((((J2)*(AI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K3" s="36">
        <f>100*((((K2)*(AJ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0.55827174429107052</v>
      </c>
      <c r="L3" s="36">
        <f>100*((((L2)*(AK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M3" s="36">
        <f>100*((((M2)*(AL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26.489258808688039</v>
      </c>
      <c r="N3" s="36">
        <f>100*((((N2)*(AM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0.97502877723000503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W2))+((X2)/(AW2))+((Y2)/(AX2)))))</f>
        <v>0</v>
      </c>
      <c r="P3" s="36">
        <f>100*((((P2)*(AO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Q3" s="36">
        <f>100*((((Q2)*(AP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R3" s="36">
        <f>100*((((R2)*(AQ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S3" s="36">
        <f>100*((((S2)*(AR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T3" s="36">
        <f>100*((((T2)*(AS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U3" s="36">
        <f>100*((((U2)*(AT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V3" s="36">
        <f>100*((((V2)*(AU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W3" s="7">
        <f>100*((((W2)*(AV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X3" s="7">
        <f>100*((((X2)*(AW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Y3" s="7">
        <f>100*((((Y2)*(AX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Z3" s="68">
        <v>55.84</v>
      </c>
      <c r="AA3" s="7">
        <v>95.94</v>
      </c>
      <c r="AB3" s="7">
        <v>183.85</v>
      </c>
      <c r="AC3" s="7">
        <v>58.933199999999999</v>
      </c>
      <c r="AD3" s="7">
        <v>63.54</v>
      </c>
      <c r="AE3" s="7">
        <v>12.01</v>
      </c>
      <c r="AF3" s="7">
        <v>28.085000000000001</v>
      </c>
      <c r="AG3" s="7">
        <v>47.88</v>
      </c>
      <c r="AH3" s="7">
        <v>58.692999999999998</v>
      </c>
      <c r="AI3" s="7">
        <v>51.99</v>
      </c>
      <c r="AJ3" s="7">
        <v>54.93</v>
      </c>
      <c r="AK3" s="7">
        <v>92.9</v>
      </c>
      <c r="AL3" s="7">
        <v>14.0067</v>
      </c>
      <c r="AM3" s="7">
        <v>26.981539999999999</v>
      </c>
    </row>
    <row r="4" spans="1:50" ht="15.75" x14ac:dyDescent="0.25">
      <c r="A4" s="8"/>
      <c r="B4" s="9"/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4CBF9-FBC0-40E6-BAF0-2403541C6699}">
  <dimension ref="A1:AZ26"/>
  <sheetViews>
    <sheetView zoomScale="87" zoomScaleNormal="87" workbookViewId="0">
      <selection activeCell="C5" sqref="C5:R7"/>
    </sheetView>
  </sheetViews>
  <sheetFormatPr baseColWidth="10" defaultColWidth="8.7109375" defaultRowHeight="15" x14ac:dyDescent="0.25"/>
  <cols>
    <col min="1" max="1" width="24.42578125" customWidth="1"/>
    <col min="2" max="2" width="17.28515625" customWidth="1"/>
    <col min="3" max="3" width="15.85546875" customWidth="1"/>
    <col min="4" max="4" width="8.28515625" customWidth="1"/>
    <col min="5" max="5" width="8.85546875" customWidth="1"/>
    <col min="6" max="6" width="9.5703125" customWidth="1"/>
    <col min="7" max="7" width="10" customWidth="1"/>
    <col min="8" max="8" width="6.5703125" customWidth="1"/>
    <col min="9" max="9" width="9.42578125" customWidth="1"/>
    <col min="10" max="10" width="12.7109375" customWidth="1"/>
    <col min="11" max="11" width="15.42578125" customWidth="1"/>
    <col min="12" max="12" width="8.85546875" customWidth="1"/>
    <col min="13" max="13" width="9.140625" customWidth="1"/>
    <col min="14" max="14" width="9.28515625" customWidth="1"/>
    <col min="15" max="15" width="8.85546875" customWidth="1"/>
    <col min="16" max="26" width="12.5703125" bestFit="1" customWidth="1"/>
  </cols>
  <sheetData>
    <row r="1" spans="1:52" ht="21" x14ac:dyDescent="0.35">
      <c r="A1" s="89" t="s">
        <v>34</v>
      </c>
      <c r="B1" s="89"/>
      <c r="C1" s="89">
        <f>C5-C2</f>
        <v>-0.72159366228523125</v>
      </c>
      <c r="D1" s="89">
        <f>D4-D2</f>
        <v>0.47204452356133075</v>
      </c>
      <c r="E1" s="89">
        <f>E2-E5</f>
        <v>0</v>
      </c>
      <c r="F1" s="89">
        <f>F4-F2</f>
        <v>0</v>
      </c>
      <c r="G1" s="89">
        <f t="shared" ref="G1:O1" si="0">G4-G2</f>
        <v>-12.031279510528538</v>
      </c>
      <c r="H1" s="89">
        <f t="shared" si="0"/>
        <v>3.1276074687928879E-3</v>
      </c>
      <c r="I1" s="89">
        <f>I4-I2</f>
        <v>6.042337088277771E-4</v>
      </c>
      <c r="J1" s="89">
        <f>J5-J2</f>
        <v>0</v>
      </c>
      <c r="K1" s="89">
        <f>K5-K2</f>
        <v>0</v>
      </c>
      <c r="L1" s="89">
        <f t="shared" si="0"/>
        <v>6.3430107998463603E-2</v>
      </c>
      <c r="M1" s="89">
        <f t="shared" si="0"/>
        <v>7.971509513911816E-4</v>
      </c>
      <c r="N1" s="89">
        <f t="shared" si="0"/>
        <v>-24.640803503907868</v>
      </c>
      <c r="O1" s="89">
        <f t="shared" si="0"/>
        <v>-0.46246887528632197</v>
      </c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</row>
    <row r="2" spans="1:52" ht="21" x14ac:dyDescent="0.35">
      <c r="A2" s="89" t="s">
        <v>37</v>
      </c>
      <c r="B2" s="138">
        <f>100-C2-D2-E2-F2-G2-H2-I2-J2-K2-L2-M2-N2-O2</f>
        <v>60.183639398998324</v>
      </c>
      <c r="C2" s="89">
        <f>'1.0330_3'!C8</f>
        <v>1.335559265442404</v>
      </c>
      <c r="D2" s="89">
        <f>'1.0330_3'!D8</f>
        <v>0</v>
      </c>
      <c r="E2" s="89">
        <f>'1.0330_3'!E8</f>
        <v>0</v>
      </c>
      <c r="F2" s="89">
        <f>'1.0330_3'!F8</f>
        <v>0</v>
      </c>
      <c r="G2" s="89">
        <f>'1.0330_3'!G8</f>
        <v>12.353923205342237</v>
      </c>
      <c r="H2" s="89">
        <f>'1.0330_3'!H8</f>
        <v>0</v>
      </c>
      <c r="I2" s="89">
        <f>'1.0330_3'!I8</f>
        <v>0</v>
      </c>
      <c r="J2" s="89">
        <f>'1.0330_3'!J8</f>
        <v>0</v>
      </c>
      <c r="K2" s="89">
        <f>'1.0330_3'!K8</f>
        <v>0</v>
      </c>
      <c r="L2" s="89">
        <f>'1.0330_3'!L8</f>
        <v>0.5008347245409015</v>
      </c>
      <c r="M2" s="89">
        <f>'1.0330_3'!M8</f>
        <v>0</v>
      </c>
      <c r="N2" s="89">
        <f>'1.0330_3'!N8</f>
        <v>25.125208681135227</v>
      </c>
      <c r="O2" s="89">
        <f>'1.0330_3'!O8</f>
        <v>0.5008347245409015</v>
      </c>
      <c r="P2" s="89">
        <f>'1.0330_3'!P8</f>
        <v>0</v>
      </c>
      <c r="Q2" s="89">
        <f>'1.0330_3'!Q8</f>
        <v>0</v>
      </c>
      <c r="R2" s="89">
        <f>'1.0330_3'!R8</f>
        <v>0</v>
      </c>
      <c r="S2" s="89">
        <f>'1.0330_3'!S8</f>
        <v>0</v>
      </c>
      <c r="T2" s="89">
        <f>'1.0330_3'!T8</f>
        <v>0</v>
      </c>
      <c r="U2" s="89">
        <f>'1.0330_3'!U8</f>
        <v>0</v>
      </c>
      <c r="V2" s="89">
        <f>'1.0330_3'!V8</f>
        <v>0</v>
      </c>
      <c r="W2" s="89">
        <f>'1.0330_3'!W8</f>
        <v>0</v>
      </c>
      <c r="X2" s="89">
        <f>'1.0330_3'!X8</f>
        <v>0</v>
      </c>
      <c r="Y2" s="89">
        <f>'1.0330_3'!Y8</f>
        <v>0</v>
      </c>
      <c r="Z2" s="89">
        <f>'1.0330_3'!Z8</f>
        <v>0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</row>
    <row r="3" spans="1:52" ht="21" x14ac:dyDescent="0.35">
      <c r="A3" s="89"/>
      <c r="B3" s="210" t="s">
        <v>14</v>
      </c>
      <c r="C3" s="210" t="s">
        <v>15</v>
      </c>
      <c r="D3" s="210" t="s">
        <v>8</v>
      </c>
      <c r="E3" s="210" t="s">
        <v>9</v>
      </c>
      <c r="F3" s="210" t="s">
        <v>234</v>
      </c>
      <c r="G3" s="210" t="s">
        <v>56</v>
      </c>
      <c r="H3" s="210" t="s">
        <v>57</v>
      </c>
      <c r="I3" s="210" t="s">
        <v>58</v>
      </c>
      <c r="J3" s="210" t="s">
        <v>77</v>
      </c>
      <c r="K3" s="210" t="s">
        <v>204</v>
      </c>
      <c r="L3" s="210" t="s">
        <v>16</v>
      </c>
      <c r="M3" s="210" t="s">
        <v>12</v>
      </c>
      <c r="N3" s="210" t="s">
        <v>44</v>
      </c>
      <c r="O3" s="210" t="s">
        <v>55</v>
      </c>
      <c r="P3" s="210" t="s">
        <v>17</v>
      </c>
      <c r="Q3" s="210" t="s">
        <v>80</v>
      </c>
      <c r="R3" s="210" t="s">
        <v>81</v>
      </c>
      <c r="S3" s="210" t="s">
        <v>82</v>
      </c>
      <c r="T3" s="210" t="s">
        <v>83</v>
      </c>
      <c r="U3" s="210" t="s">
        <v>45</v>
      </c>
      <c r="V3" s="210" t="s">
        <v>43</v>
      </c>
      <c r="W3" s="210" t="s">
        <v>13</v>
      </c>
      <c r="X3" s="210" t="s">
        <v>0</v>
      </c>
      <c r="Y3" s="210" t="s">
        <v>11</v>
      </c>
      <c r="Z3" s="210" t="s">
        <v>10</v>
      </c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</row>
    <row r="4" spans="1:52" ht="21" x14ac:dyDescent="0.35">
      <c r="A4" s="89" t="s">
        <v>35</v>
      </c>
      <c r="B4" s="89">
        <f>100-C4-D4-E4-F4-G4-H4-I4-J4-K4-L4-M4-N4-O4-P4-Q4-R4-S4-T4-U4-V4-W4-X4-Y4-Z4</f>
        <v>97.475932292799357</v>
      </c>
      <c r="C4" s="89">
        <f>'opt 5'!C56</f>
        <v>0.61396560315717275</v>
      </c>
      <c r="D4" s="89">
        <f>'opt 5'!D56</f>
        <v>0.47204452356133075</v>
      </c>
      <c r="E4" s="89">
        <f>'opt 5'!E56</f>
        <v>0</v>
      </c>
      <c r="F4" s="89">
        <f>'opt 5'!F56</f>
        <v>0</v>
      </c>
      <c r="G4" s="89">
        <f>'opt 5'!G56</f>
        <v>0.3226436948136997</v>
      </c>
      <c r="H4" s="89">
        <f>'opt 5'!H56</f>
        <v>3.1276074687928879E-3</v>
      </c>
      <c r="I4" s="89">
        <f>'opt 5'!I56</f>
        <v>6.042337088277771E-4</v>
      </c>
      <c r="J4" s="89">
        <f>'opt 5'!J56</f>
        <v>1.3832490075151654E-3</v>
      </c>
      <c r="K4" s="89">
        <f>'opt 5'!K56</f>
        <v>2.6884487336118414E-3</v>
      </c>
      <c r="L4" s="89">
        <f>'opt 5'!L56</f>
        <v>0.5642648325393651</v>
      </c>
      <c r="M4" s="89">
        <f>'opt 5'!M56</f>
        <v>7.971509513911816E-4</v>
      </c>
      <c r="N4" s="89">
        <f>'opt 5'!N56</f>
        <v>0.48440517722735876</v>
      </c>
      <c r="O4" s="89">
        <f>'opt 5'!O56</f>
        <v>3.8365849254579538E-2</v>
      </c>
      <c r="P4" s="89">
        <f>'opt 5'!P56</f>
        <v>0</v>
      </c>
      <c r="Q4" s="89">
        <f>'opt 5'!Q56</f>
        <v>1.9777336776994371E-2</v>
      </c>
      <c r="R4" s="89">
        <f>'opt 5'!R56</f>
        <v>0</v>
      </c>
      <c r="S4" s="89">
        <f>'opt 5'!S56</f>
        <v>0</v>
      </c>
      <c r="T4" s="89">
        <f>'opt 5'!T56</f>
        <v>0</v>
      </c>
      <c r="U4" s="89">
        <f>'opt 5'!U56</f>
        <v>0</v>
      </c>
      <c r="V4" s="89">
        <f>'opt 5'!V56</f>
        <v>0</v>
      </c>
      <c r="W4" s="89">
        <f>'opt 5'!W56</f>
        <v>0</v>
      </c>
      <c r="X4" s="89">
        <f>'opt 5'!X56</f>
        <v>0</v>
      </c>
      <c r="Y4" s="89">
        <f>'opt 5'!Y56</f>
        <v>0</v>
      </c>
      <c r="Z4" s="89">
        <f>'opt 5'!Z56</f>
        <v>0</v>
      </c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</row>
    <row r="5" spans="1:52" ht="21" x14ac:dyDescent="0.35">
      <c r="A5" s="89" t="s">
        <v>36</v>
      </c>
      <c r="B5" s="89">
        <f>100-C5-D5-E5-F5-G5-H5-I5-J5-K5-L5-M5-N5-O5</f>
        <v>97.475932292799371</v>
      </c>
      <c r="C5" s="149">
        <f>C4</f>
        <v>0.61396560315717275</v>
      </c>
      <c r="D5" s="158"/>
      <c r="E5" s="159"/>
      <c r="F5" s="159"/>
      <c r="G5" s="159">
        <f>G4+D4+E4+F4+H4+I4+J4+K4+M4+V4</f>
        <v>0.80328890824516941</v>
      </c>
      <c r="H5" s="159"/>
      <c r="I5" s="159"/>
      <c r="J5" s="149"/>
      <c r="K5" s="149"/>
      <c r="L5" s="7">
        <f>L4</f>
        <v>0.5642648325393651</v>
      </c>
      <c r="M5" s="7"/>
      <c r="N5" s="7">
        <f>N4+P4+Q4+R4+S4+T4+U4+W4+X4+Y4+Z4</f>
        <v>0.5041825140043531</v>
      </c>
      <c r="O5" s="7">
        <f>O4</f>
        <v>3.8365849254579538E-2</v>
      </c>
      <c r="P5" s="7"/>
      <c r="Q5" s="7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</row>
    <row r="6" spans="1:52" ht="21" x14ac:dyDescent="0.35">
      <c r="A6" s="89"/>
      <c r="B6" s="8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</row>
    <row r="7" spans="1:52" ht="21" x14ac:dyDescent="0.35">
      <c r="A7" s="89" t="s">
        <v>92</v>
      </c>
      <c r="B7" s="139">
        <f>100-C7-D7-E7-F7-G7-H7-I7-J7-K7-L7-M7-N7-O7-P7-Q7-R7-S7-T7-U7-V7-W7-X7-Y7-Z7</f>
        <v>61.184896673747687</v>
      </c>
      <c r="C7" s="156">
        <f>C2</f>
        <v>1.335559265442404</v>
      </c>
      <c r="D7" s="156"/>
      <c r="E7" s="156"/>
      <c r="F7" s="156"/>
      <c r="G7" s="156">
        <f>G2-D4-E4-F4-H4-I4-J4-K4-M4-V4</f>
        <v>11.873277991910768</v>
      </c>
      <c r="H7" s="156"/>
      <c r="I7" s="156"/>
      <c r="J7" s="156"/>
      <c r="K7" s="156"/>
      <c r="L7" s="156">
        <f>L2</f>
        <v>0.5008347245409015</v>
      </c>
      <c r="M7" s="156">
        <f>M2</f>
        <v>0</v>
      </c>
      <c r="N7" s="156">
        <f>N2-P4-Q4-R4-S4-T4-U4-W4-X4-Y4-Z4</f>
        <v>25.105431344358234</v>
      </c>
      <c r="O7" s="156"/>
      <c r="P7" s="156"/>
      <c r="Q7" s="156"/>
      <c r="R7" s="177"/>
      <c r="S7" s="177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</row>
    <row r="8" spans="1:52" ht="21" x14ac:dyDescent="0.35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</row>
    <row r="9" spans="1:52" ht="21" x14ac:dyDescent="0.35">
      <c r="A9" s="89"/>
      <c r="B9" s="89"/>
      <c r="C9" s="89"/>
      <c r="D9" s="89"/>
      <c r="E9" s="89"/>
      <c r="F9" s="89" t="s">
        <v>7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</row>
    <row r="10" spans="1:52" ht="21" x14ac:dyDescent="0.35">
      <c r="A10" s="89" t="s">
        <v>32</v>
      </c>
      <c r="B10" s="180"/>
      <c r="C10" s="180"/>
      <c r="D10" s="89"/>
      <c r="E10" s="180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</row>
    <row r="11" spans="1:52" ht="21" x14ac:dyDescent="0.35">
      <c r="A11" s="89" t="s">
        <v>33</v>
      </c>
      <c r="B11" s="181"/>
      <c r="C11" s="181"/>
      <c r="D11" s="89"/>
      <c r="E11" s="181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</row>
    <row r="12" spans="1:52" ht="21" x14ac:dyDescent="0.35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</row>
    <row r="13" spans="1:52" ht="21" x14ac:dyDescent="0.35">
      <c r="A13" s="89"/>
      <c r="B13" s="89" t="s">
        <v>14</v>
      </c>
      <c r="C13" s="180" t="s">
        <v>56</v>
      </c>
      <c r="D13" s="180" t="s">
        <v>15</v>
      </c>
      <c r="E13" s="181" t="s">
        <v>8</v>
      </c>
      <c r="F13" s="180" t="s">
        <v>9</v>
      </c>
      <c r="G13" s="180" t="s">
        <v>57</v>
      </c>
      <c r="H13" s="181" t="s">
        <v>58</v>
      </c>
      <c r="I13" s="180" t="s">
        <v>77</v>
      </c>
      <c r="J13" s="181" t="s">
        <v>13</v>
      </c>
      <c r="K13" s="180" t="s">
        <v>16</v>
      </c>
      <c r="L13" s="180" t="s">
        <v>55</v>
      </c>
      <c r="M13" s="181" t="s">
        <v>44</v>
      </c>
      <c r="N13" s="181" t="s">
        <v>10</v>
      </c>
      <c r="O13" s="180" t="s">
        <v>12</v>
      </c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</row>
    <row r="14" spans="1:52" ht="21" x14ac:dyDescent="0.35">
      <c r="A14" s="89" t="s">
        <v>39</v>
      </c>
      <c r="B14" s="89">
        <f>100-(C14+D14+E14+F14+G14+H14+I14+J14+K14+L14+M14+N14+O14)</f>
        <v>97.226383154075464</v>
      </c>
      <c r="C14" s="89">
        <f>C5-C1</f>
        <v>1.335559265442404</v>
      </c>
      <c r="D14" s="89">
        <f>D5-D1</f>
        <v>-0.47204452356133075</v>
      </c>
      <c r="E14" s="89">
        <f t="shared" ref="E14:I14" si="1">E5</f>
        <v>0</v>
      </c>
      <c r="F14" s="89">
        <f t="shared" si="1"/>
        <v>0</v>
      </c>
      <c r="G14" s="89">
        <f t="shared" si="1"/>
        <v>0.80328890824516941</v>
      </c>
      <c r="H14" s="89">
        <f t="shared" si="1"/>
        <v>0</v>
      </c>
      <c r="I14" s="89">
        <f t="shared" si="1"/>
        <v>0</v>
      </c>
      <c r="J14" s="89">
        <f>J5-J1</f>
        <v>0</v>
      </c>
      <c r="K14" s="89">
        <f>K5-K1</f>
        <v>0</v>
      </c>
      <c r="L14" s="89">
        <f t="shared" ref="L14:O14" si="2">L5</f>
        <v>0.5642648325393651</v>
      </c>
      <c r="M14" s="89">
        <f t="shared" si="2"/>
        <v>0</v>
      </c>
      <c r="N14" s="89">
        <f t="shared" si="2"/>
        <v>0.5041825140043531</v>
      </c>
      <c r="O14" s="89">
        <f t="shared" si="2"/>
        <v>3.8365849254579538E-2</v>
      </c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</row>
    <row r="15" spans="1:52" ht="21" x14ac:dyDescent="0.3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</row>
    <row r="16" spans="1:52" ht="21" x14ac:dyDescent="0.3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</row>
    <row r="17" spans="1:52" ht="21" x14ac:dyDescent="0.35">
      <c r="A17" s="89"/>
      <c r="B17" s="210" t="s">
        <v>14</v>
      </c>
      <c r="C17" s="210" t="s">
        <v>15</v>
      </c>
      <c r="D17" s="210" t="s">
        <v>8</v>
      </c>
      <c r="E17" s="210" t="s">
        <v>9</v>
      </c>
      <c r="F17" s="210" t="s">
        <v>234</v>
      </c>
      <c r="G17" s="210" t="s">
        <v>56</v>
      </c>
      <c r="H17" s="210" t="s">
        <v>57</v>
      </c>
      <c r="I17" s="210" t="s">
        <v>58</v>
      </c>
      <c r="J17" s="210" t="s">
        <v>77</v>
      </c>
      <c r="K17" s="210" t="s">
        <v>204</v>
      </c>
      <c r="L17" s="210" t="s">
        <v>16</v>
      </c>
      <c r="M17" s="210" t="s">
        <v>12</v>
      </c>
      <c r="N17" s="210" t="s">
        <v>44</v>
      </c>
      <c r="O17" s="210" t="s">
        <v>55</v>
      </c>
      <c r="P17" s="210" t="s">
        <v>17</v>
      </c>
      <c r="Q17" s="210" t="s">
        <v>80</v>
      </c>
      <c r="R17" s="210" t="s">
        <v>81</v>
      </c>
      <c r="S17" s="210" t="s">
        <v>82</v>
      </c>
      <c r="T17" s="210" t="s">
        <v>83</v>
      </c>
      <c r="U17" s="210" t="s">
        <v>45</v>
      </c>
      <c r="V17" s="210" t="s">
        <v>43</v>
      </c>
      <c r="W17" s="210" t="s">
        <v>13</v>
      </c>
      <c r="X17" s="210" t="s">
        <v>0</v>
      </c>
      <c r="Y17" s="210" t="s">
        <v>11</v>
      </c>
      <c r="Z17" s="210" t="s">
        <v>10</v>
      </c>
      <c r="AA17" s="211" t="s">
        <v>14</v>
      </c>
      <c r="AB17" s="212" t="s">
        <v>15</v>
      </c>
      <c r="AC17" s="213" t="s">
        <v>8</v>
      </c>
      <c r="AD17" s="214" t="s">
        <v>9</v>
      </c>
      <c r="AE17" s="213" t="s">
        <v>234</v>
      </c>
      <c r="AF17" s="213" t="s">
        <v>56</v>
      </c>
      <c r="AG17" s="214" t="s">
        <v>57</v>
      </c>
      <c r="AH17" s="213" t="s">
        <v>58</v>
      </c>
      <c r="AI17" s="215" t="s">
        <v>77</v>
      </c>
      <c r="AJ17" s="216" t="s">
        <v>204</v>
      </c>
      <c r="AK17" s="216" t="s">
        <v>16</v>
      </c>
      <c r="AL17" s="215" t="s">
        <v>12</v>
      </c>
      <c r="AM17" s="215" t="s">
        <v>44</v>
      </c>
      <c r="AN17" s="216" t="s">
        <v>55</v>
      </c>
      <c r="AO17" s="210" t="s">
        <v>17</v>
      </c>
      <c r="AP17" s="210" t="s">
        <v>80</v>
      </c>
      <c r="AQ17" s="210" t="s">
        <v>81</v>
      </c>
      <c r="AR17" s="210" t="s">
        <v>82</v>
      </c>
      <c r="AS17" s="210" t="s">
        <v>83</v>
      </c>
      <c r="AT17" s="210" t="s">
        <v>45</v>
      </c>
      <c r="AU17" s="210" t="s">
        <v>43</v>
      </c>
      <c r="AV17" s="210" t="s">
        <v>13</v>
      </c>
      <c r="AW17" s="210" t="s">
        <v>0</v>
      </c>
      <c r="AX17" s="210" t="s">
        <v>11</v>
      </c>
      <c r="AY17" s="210" t="s">
        <v>10</v>
      </c>
      <c r="AZ17" s="89"/>
    </row>
    <row r="18" spans="1:52" ht="21" x14ac:dyDescent="0.35">
      <c r="A18" s="89"/>
      <c r="B18" s="217">
        <f>100-C18-D18-E18-F18-G18-H18-I18-J18-K18-L18-M18-N18-O18-P18-Q18-R18-S18-T18-U18-V18-W18-X18-Y18-Z18</f>
        <v>60.646905425236021</v>
      </c>
      <c r="C18" s="218">
        <f>C7</f>
        <v>1.335559265442404</v>
      </c>
      <c r="D18" s="218">
        <f t="shared" ref="D18:Z18" si="3">D4</f>
        <v>0.47204452356133075</v>
      </c>
      <c r="E18" s="218">
        <f t="shared" si="3"/>
        <v>0</v>
      </c>
      <c r="F18" s="218">
        <f t="shared" si="3"/>
        <v>0</v>
      </c>
      <c r="G18" s="218">
        <f>G7</f>
        <v>11.873277991910768</v>
      </c>
      <c r="H18" s="218">
        <f t="shared" si="3"/>
        <v>3.1276074687928879E-3</v>
      </c>
      <c r="I18" s="218">
        <f t="shared" si="3"/>
        <v>6.042337088277771E-4</v>
      </c>
      <c r="J18" s="218">
        <f t="shared" si="3"/>
        <v>1.3832490075151654E-3</v>
      </c>
      <c r="K18" s="218">
        <f t="shared" si="3"/>
        <v>2.6884487336118414E-3</v>
      </c>
      <c r="L18" s="218">
        <f>L7</f>
        <v>0.5008347245409015</v>
      </c>
      <c r="M18" s="218">
        <f>M7</f>
        <v>0</v>
      </c>
      <c r="N18" s="218">
        <f>N7</f>
        <v>25.105431344358234</v>
      </c>
      <c r="O18" s="218">
        <f t="shared" si="3"/>
        <v>3.8365849254579538E-2</v>
      </c>
      <c r="P18" s="218">
        <f t="shared" si="3"/>
        <v>0</v>
      </c>
      <c r="Q18" s="218">
        <f t="shared" si="3"/>
        <v>1.9777336776994371E-2</v>
      </c>
      <c r="R18" s="218">
        <f t="shared" si="3"/>
        <v>0</v>
      </c>
      <c r="S18" s="218">
        <f t="shared" si="3"/>
        <v>0</v>
      </c>
      <c r="T18" s="218">
        <f t="shared" si="3"/>
        <v>0</v>
      </c>
      <c r="U18" s="218">
        <f t="shared" si="3"/>
        <v>0</v>
      </c>
      <c r="V18" s="218">
        <f t="shared" si="3"/>
        <v>0</v>
      </c>
      <c r="W18" s="218">
        <f t="shared" si="3"/>
        <v>0</v>
      </c>
      <c r="X18" s="218">
        <f t="shared" si="3"/>
        <v>0</v>
      </c>
      <c r="Y18" s="218">
        <f t="shared" si="3"/>
        <v>0</v>
      </c>
      <c r="Z18" s="218">
        <f t="shared" si="3"/>
        <v>0</v>
      </c>
      <c r="AA18" s="225">
        <v>55.84</v>
      </c>
      <c r="AB18" s="219">
        <v>28.0855</v>
      </c>
      <c r="AC18" s="219">
        <v>58.693399999999997</v>
      </c>
      <c r="AD18" s="219">
        <v>63.545999999999999</v>
      </c>
      <c r="AE18" s="219">
        <v>65.38</v>
      </c>
      <c r="AF18" s="219">
        <v>12.01</v>
      </c>
      <c r="AG18" s="219">
        <v>30.973762000000001</v>
      </c>
      <c r="AH18" s="219">
        <v>32.064999999999998</v>
      </c>
      <c r="AI18" s="219">
        <v>14.0067</v>
      </c>
      <c r="AJ18" s="219">
        <v>10.81</v>
      </c>
      <c r="AK18" s="219">
        <v>54.938043999999998</v>
      </c>
      <c r="AL18" s="219">
        <v>26.981539999999999</v>
      </c>
      <c r="AM18" s="219">
        <v>51.996099999999998</v>
      </c>
      <c r="AN18" s="219">
        <v>95.95</v>
      </c>
      <c r="AO18" s="220">
        <v>47.866999999999997</v>
      </c>
      <c r="AP18" s="220">
        <v>50.941499999999998</v>
      </c>
      <c r="AQ18" s="220">
        <v>92.906369999999995</v>
      </c>
      <c r="AR18" s="220">
        <v>183.84</v>
      </c>
      <c r="AS18" s="220">
        <v>180.94788</v>
      </c>
      <c r="AT18" s="220">
        <v>91.224000000000004</v>
      </c>
      <c r="AU18" s="220">
        <v>58.933194999999998</v>
      </c>
      <c r="AV18" s="220">
        <v>24.305</v>
      </c>
      <c r="AW18" s="219">
        <v>121.76</v>
      </c>
      <c r="AX18" s="219">
        <v>207.2</v>
      </c>
      <c r="AY18" s="219">
        <v>118.71</v>
      </c>
      <c r="AZ18" s="89"/>
    </row>
    <row r="19" spans="1:52" ht="21" x14ac:dyDescent="0.35">
      <c r="A19" s="89"/>
      <c r="B19" s="217">
        <f>100*((((B18)*(AA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68.663048384257664</v>
      </c>
      <c r="C19" s="217">
        <f>100*((((C18)*(AB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0.76052649780873993</v>
      </c>
      <c r="D19" s="217">
        <f>100*((((D18)*(AC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0.56174764082143946</v>
      </c>
      <c r="E19" s="217">
        <f>100*((((E18)*(AD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F19" s="217">
        <f>100*((((F18)*(AE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G19" s="217">
        <f>100*((((G18)*(AF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2.8912301833697289</v>
      </c>
      <c r="H19" s="217">
        <f>100*((((H18)*(AG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1.9641525902847541E-3</v>
      </c>
      <c r="I19" s="217">
        <f>100*((((I18)*(AH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3.9283051805695084E-4</v>
      </c>
      <c r="J19" s="217">
        <f>100*((((J18)*(AI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3.9283051805695074E-4</v>
      </c>
      <c r="K19" s="217">
        <f>100*((((K18)*(AJ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5.8924577708542624E-4</v>
      </c>
      <c r="L19" s="217">
        <f>100*((((L18)*(AK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0.5578746799921106</v>
      </c>
      <c r="M19" s="217">
        <f>100*((((M18)*(AL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N19" s="217">
        <f>100*((((N18)*(AM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26.467168568977016</v>
      </c>
      <c r="O19" s="217">
        <f>100*((((O18)*(AN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7.4637798430820648E-2</v>
      </c>
      <c r="P19" s="217">
        <f>100*((((P18)*(AO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Q19" s="217">
        <f>100*((((Q18)*(AP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2.042718693896144E-2</v>
      </c>
      <c r="R19" s="217">
        <f>100*((((R18)*(AQ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S19" s="217">
        <f>100*((((S18)*(AR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T19" s="217">
        <f>100*((((T18)*(AS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U19" s="217">
        <f>100*((((U18)*(AT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V19" s="217">
        <f>100*((((V18)*(AU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W19" s="217">
        <f>100*((((W18)*(AV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X19" s="219">
        <f>100*((((X18)*(AW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Y19" s="219">
        <f>100*((((Y18)*(AX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Z19" s="219">
        <f>100*((((Z18)*(AY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89"/>
    </row>
    <row r="20" spans="1:52" ht="21" x14ac:dyDescent="0.35">
      <c r="A20" s="89"/>
      <c r="B20" s="89"/>
      <c r="C20" s="89"/>
      <c r="D20" s="89"/>
      <c r="E20" s="89">
        <f>E19/'opt 5'!G6</f>
        <v>0</v>
      </c>
      <c r="F20" s="89">
        <f>F19/'opt 5'!G6</f>
        <v>0</v>
      </c>
      <c r="G20" s="89">
        <f>G19/'opt 5'!G6</f>
        <v>1.0087786548835038</v>
      </c>
      <c r="H20" s="89">
        <f>H19/'opt 5'!G6</f>
        <v>6.8531216207216264E-4</v>
      </c>
      <c r="I20" s="89">
        <f>I19/'opt 5'!G6</f>
        <v>1.3706243241443255E-4</v>
      </c>
      <c r="J20" s="89"/>
      <c r="K20" s="89"/>
      <c r="L20" s="89">
        <f>L19/'opt 5'!G6</f>
        <v>0.19464796421711938</v>
      </c>
      <c r="M20" s="89">
        <f>M19/'opt 5'!G6</f>
        <v>0</v>
      </c>
      <c r="N20" s="89">
        <f>N19/'opt 5'!G6</f>
        <v>9.2346554975672337</v>
      </c>
      <c r="O20" s="89">
        <f>O19/'opt 5'!G6</f>
        <v>2.6041862158742178E-2</v>
      </c>
      <c r="P20" s="89">
        <f>P19/'opt 5'!G6</f>
        <v>0</v>
      </c>
      <c r="Q20" s="89">
        <f>Q19/'opt 5'!G6</f>
        <v>7.1272464855504907E-3</v>
      </c>
      <c r="R20" s="89">
        <f>R19/'opt 5'!G6</f>
        <v>0</v>
      </c>
      <c r="S20" s="89">
        <f>S19/'opt 5'!G6</f>
        <v>0</v>
      </c>
      <c r="T20" s="89">
        <f>T19/'opt 5'!G6</f>
        <v>0</v>
      </c>
      <c r="U20" s="89">
        <f>U19/'opt 5'!G6</f>
        <v>0</v>
      </c>
      <c r="V20" s="89">
        <f>V19/'opt 5'!G6</f>
        <v>0</v>
      </c>
      <c r="W20" s="89">
        <f>W19/'opt 5'!G6</f>
        <v>0</v>
      </c>
      <c r="X20" s="89">
        <f>X19/'opt 5'!G6</f>
        <v>0</v>
      </c>
      <c r="Y20" s="89">
        <f>Y19/'opt 5'!G6</f>
        <v>0</v>
      </c>
      <c r="Z20" s="89">
        <f>Z19/'opt 5'!G6</f>
        <v>0</v>
      </c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</row>
    <row r="21" spans="1:52" ht="21" x14ac:dyDescent="0.3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</row>
    <row r="22" spans="1:52" ht="21" x14ac:dyDescent="0.3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</row>
    <row r="23" spans="1:52" ht="21" x14ac:dyDescent="0.3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</row>
    <row r="24" spans="1:52" ht="21" x14ac:dyDescent="0.3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</row>
    <row r="25" spans="1:52" ht="21" x14ac:dyDescent="0.3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</row>
    <row r="26" spans="1:52" ht="21" x14ac:dyDescent="0.35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</row>
  </sheetData>
  <pageMargins left="0.7" right="0.7" top="0.75" bottom="0.75" header="0.3" footer="0.3"/>
  <pageSetup paperSize="9" orientation="portrait" verticalDpi="597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24A9-B57E-4D82-A423-B51C30B7D647}">
  <dimension ref="A1:AZ25"/>
  <sheetViews>
    <sheetView zoomScale="86" zoomScaleNormal="86" workbookViewId="0">
      <selection activeCell="E15" sqref="E15"/>
    </sheetView>
  </sheetViews>
  <sheetFormatPr baseColWidth="10" defaultColWidth="8.7109375" defaultRowHeight="15" x14ac:dyDescent="0.25"/>
  <cols>
    <col min="1" max="1" width="24.42578125" customWidth="1"/>
    <col min="2" max="2" width="22.85546875" customWidth="1"/>
    <col min="3" max="3" width="11.140625" customWidth="1"/>
    <col min="4" max="4" width="8.28515625" customWidth="1"/>
    <col min="5" max="5" width="7.42578125" customWidth="1"/>
    <col min="6" max="6" width="13.7109375" customWidth="1"/>
    <col min="7" max="7" width="5.7109375" customWidth="1"/>
    <col min="8" max="8" width="6.5703125" customWidth="1"/>
    <col min="9" max="9" width="9.42578125" customWidth="1"/>
    <col min="10" max="11" width="12.7109375" customWidth="1"/>
    <col min="12" max="12" width="8.42578125" customWidth="1"/>
    <col min="13" max="13" width="10.28515625" customWidth="1"/>
    <col min="14" max="14" width="9.7109375" customWidth="1"/>
    <col min="15" max="15" width="7.85546875" customWidth="1"/>
    <col min="16" max="17" width="8.85546875" bestFit="1" customWidth="1"/>
  </cols>
  <sheetData>
    <row r="1" spans="1:52" ht="21" x14ac:dyDescent="0.35">
      <c r="A1" s="89" t="s">
        <v>34</v>
      </c>
      <c r="B1" s="89"/>
      <c r="C1" s="89">
        <f>C5-C2</f>
        <v>1.7450459967587379</v>
      </c>
      <c r="D1" s="89">
        <f>D4-D2</f>
        <v>1.3390140731654472</v>
      </c>
      <c r="E1" s="89">
        <f>E2-E5</f>
        <v>0</v>
      </c>
      <c r="F1" s="89">
        <f>F4-F2</f>
        <v>0</v>
      </c>
      <c r="G1" s="89">
        <f t="shared" ref="G1:O1" si="0">G4-G2</f>
        <v>-11.438703503789</v>
      </c>
      <c r="H1" s="89">
        <f t="shared" si="0"/>
        <v>8.8718546811123438E-3</v>
      </c>
      <c r="I1" s="89">
        <f>I4-I2</f>
        <v>1.7139854382745025E-3</v>
      </c>
      <c r="J1" s="89">
        <f>J5-J2</f>
        <v>0</v>
      </c>
      <c r="K1" s="89">
        <f>K5-K2</f>
        <v>0</v>
      </c>
      <c r="L1" s="89">
        <f t="shared" si="0"/>
        <v>1.0997739342827557</v>
      </c>
      <c r="M1" s="89">
        <f t="shared" si="0"/>
        <v>2.2612196288118464E-3</v>
      </c>
      <c r="N1" s="89">
        <f t="shared" si="0"/>
        <v>-23.751132048430975</v>
      </c>
      <c r="O1" s="89">
        <f t="shared" si="0"/>
        <v>-0.39200513428689771</v>
      </c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</row>
    <row r="2" spans="1:52" ht="21" x14ac:dyDescent="0.35">
      <c r="A2" s="89" t="s">
        <v>37</v>
      </c>
      <c r="B2" s="138">
        <f>100-C2-D2-E2-F2-G2-H2-I2-J2-K2-L2-M2-N2-O2</f>
        <v>60.183639398998324</v>
      </c>
      <c r="C2" s="89">
        <f>'1.0330_3'!C8</f>
        <v>1.335559265442404</v>
      </c>
      <c r="D2" s="89">
        <f>'1.0330_3'!D8</f>
        <v>0</v>
      </c>
      <c r="E2" s="89">
        <f>'1.0330_3'!E8</f>
        <v>0</v>
      </c>
      <c r="F2" s="89">
        <f>'1.0330_3'!F8</f>
        <v>0</v>
      </c>
      <c r="G2" s="89">
        <f>'1.0330_3'!G8</f>
        <v>12.353923205342237</v>
      </c>
      <c r="H2" s="89">
        <f>'1.0330_3'!H8</f>
        <v>0</v>
      </c>
      <c r="I2" s="89">
        <f>'1.0330_3'!I8</f>
        <v>0</v>
      </c>
      <c r="J2" s="89">
        <f>'1.0330_3'!J8</f>
        <v>0</v>
      </c>
      <c r="K2" s="89">
        <f>'1.0330_3'!K8</f>
        <v>0</v>
      </c>
      <c r="L2" s="89">
        <f>'1.0330_3'!L8</f>
        <v>0.5008347245409015</v>
      </c>
      <c r="M2" s="89">
        <f>'1.0330_3'!M8</f>
        <v>0</v>
      </c>
      <c r="N2" s="89">
        <f>'1.0330_3'!N8</f>
        <v>25.125208681135227</v>
      </c>
      <c r="O2" s="89">
        <f>'1.0330_3'!O8</f>
        <v>0.5008347245409015</v>
      </c>
      <c r="P2" s="89">
        <f>'1.0330_3'!P8</f>
        <v>0</v>
      </c>
      <c r="Q2" s="89">
        <f>'1.0330_3'!Q8</f>
        <v>0</v>
      </c>
      <c r="R2" s="89">
        <f>'1.0330_3'!R8</f>
        <v>0</v>
      </c>
      <c r="S2" s="89">
        <f>'1.0330_3'!S8</f>
        <v>0</v>
      </c>
      <c r="T2" s="89">
        <f>'1.0330_3'!T8</f>
        <v>0</v>
      </c>
      <c r="U2" s="89">
        <f>'1.0330_3'!U8</f>
        <v>0</v>
      </c>
      <c r="V2" s="89">
        <f>'1.0330_3'!V8</f>
        <v>0</v>
      </c>
      <c r="W2" s="89">
        <f>'1.0330_3'!W8</f>
        <v>0</v>
      </c>
      <c r="X2" s="89">
        <f>'1.0330_3'!X8</f>
        <v>0</v>
      </c>
      <c r="Y2" s="89">
        <f>'1.0330_3'!Y8</f>
        <v>0</v>
      </c>
      <c r="Z2" s="89">
        <f>'1.0330_3'!Z8</f>
        <v>0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</row>
    <row r="3" spans="1:52" ht="21" x14ac:dyDescent="0.35">
      <c r="A3" s="89"/>
      <c r="B3" s="210" t="s">
        <v>14</v>
      </c>
      <c r="C3" s="210" t="s">
        <v>15</v>
      </c>
      <c r="D3" s="210" t="s">
        <v>8</v>
      </c>
      <c r="E3" s="210" t="s">
        <v>9</v>
      </c>
      <c r="F3" s="210" t="s">
        <v>234</v>
      </c>
      <c r="G3" s="210" t="s">
        <v>56</v>
      </c>
      <c r="H3" s="210" t="s">
        <v>57</v>
      </c>
      <c r="I3" s="210" t="s">
        <v>58</v>
      </c>
      <c r="J3" s="210" t="s">
        <v>77</v>
      </c>
      <c r="K3" s="210" t="s">
        <v>204</v>
      </c>
      <c r="L3" s="210" t="s">
        <v>16</v>
      </c>
      <c r="M3" s="210" t="s">
        <v>12</v>
      </c>
      <c r="N3" s="210" t="s">
        <v>44</v>
      </c>
      <c r="O3" s="210" t="s">
        <v>55</v>
      </c>
      <c r="P3" s="210" t="s">
        <v>17</v>
      </c>
      <c r="Q3" s="210" t="s">
        <v>80</v>
      </c>
      <c r="R3" s="210" t="s">
        <v>81</v>
      </c>
      <c r="S3" s="210" t="s">
        <v>82</v>
      </c>
      <c r="T3" s="210" t="s">
        <v>83</v>
      </c>
      <c r="U3" s="210" t="s">
        <v>45</v>
      </c>
      <c r="V3" s="210" t="s">
        <v>43</v>
      </c>
      <c r="W3" s="210" t="s">
        <v>13</v>
      </c>
      <c r="X3" s="210" t="s">
        <v>0</v>
      </c>
      <c r="Y3" s="210" t="s">
        <v>11</v>
      </c>
      <c r="Z3" s="210" t="s">
        <v>10</v>
      </c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</row>
    <row r="4" spans="1:52" ht="21" x14ac:dyDescent="0.35">
      <c r="A4" s="89" t="s">
        <v>35</v>
      </c>
      <c r="B4" s="89">
        <f>100-C4-D4-E4-F4-G4-H4-I4-J4-K4-L4-M4-N4-O4-P4-Q4-R4-S4-T4-U4-V4-W4-X4-Y4-Z4</f>
        <v>92.840162287943642</v>
      </c>
      <c r="C4" s="89">
        <f>'opt 1'!B3</f>
        <v>1.741591189035695</v>
      </c>
      <c r="D4" s="89">
        <f>'opt 1'!C3</f>
        <v>1.3390140731654472</v>
      </c>
      <c r="E4" s="89">
        <f>'opt 1'!D3</f>
        <v>0</v>
      </c>
      <c r="F4" s="89">
        <f>'opt 1'!E3</f>
        <v>0</v>
      </c>
      <c r="G4" s="89">
        <f>'opt 1'!F3</f>
        <v>0.91521970155323784</v>
      </c>
      <c r="H4" s="89">
        <f>'opt 1'!G3</f>
        <v>8.8718546811123438E-3</v>
      </c>
      <c r="I4" s="89">
        <f>'opt 1'!H3</f>
        <v>1.7139854382745025E-3</v>
      </c>
      <c r="J4" s="89">
        <f>'opt 1'!I3</f>
        <v>3.9237609914021089E-3</v>
      </c>
      <c r="K4" s="89">
        <f>'opt 1'!J3</f>
        <v>7.6261253115085933E-3</v>
      </c>
      <c r="L4" s="89">
        <f>'opt 1'!K3</f>
        <v>1.6006086588236572</v>
      </c>
      <c r="M4" s="89">
        <f>'opt 1'!L3</f>
        <v>2.2612196288118464E-3</v>
      </c>
      <c r="N4" s="89">
        <f>'opt 1'!M3</f>
        <v>1.3740766327042508</v>
      </c>
      <c r="O4" s="89">
        <f>'opt 1'!N3</f>
        <v>0.10882959025400381</v>
      </c>
      <c r="P4" s="89">
        <f>'opt 1'!O3</f>
        <v>0</v>
      </c>
      <c r="Q4" s="89">
        <f>'opt 1'!P3</f>
        <v>5.6100920468972061E-2</v>
      </c>
      <c r="R4" s="89">
        <f>'opt 1'!Q3</f>
        <v>0</v>
      </c>
      <c r="S4" s="89">
        <f>'opt 1'!R3</f>
        <v>0</v>
      </c>
      <c r="T4" s="89">
        <f>'opt 1'!S3</f>
        <v>0</v>
      </c>
      <c r="U4" s="89">
        <f>'opt 1'!T3</f>
        <v>0</v>
      </c>
      <c r="V4" s="89">
        <f>'opt 1'!U3</f>
        <v>0</v>
      </c>
      <c r="W4" s="89">
        <f>'opt 1'!V3</f>
        <v>0</v>
      </c>
      <c r="X4" s="89">
        <f>'opt 1'!W3</f>
        <v>0</v>
      </c>
      <c r="Y4" s="89">
        <f>'opt 1'!X3</f>
        <v>0</v>
      </c>
      <c r="Z4" s="89">
        <f>'opt 1'!Y3</f>
        <v>0</v>
      </c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</row>
    <row r="5" spans="1:52" ht="21" x14ac:dyDescent="0.35">
      <c r="A5" s="89" t="s">
        <v>36</v>
      </c>
      <c r="B5" s="89">
        <f>100-C5-D5-E5-F5-G5-H5-I5-J5-K5-L5-M5-N5-O5</f>
        <v>57.650326735723645</v>
      </c>
      <c r="C5" s="149">
        <f>C4+D4+E4+F4</f>
        <v>3.0806052622011419</v>
      </c>
      <c r="D5" s="158"/>
      <c r="E5" s="159"/>
      <c r="F5" s="159"/>
      <c r="G5" s="159">
        <f>G2+H4+I4+J4+K4</f>
        <v>12.376058931764534</v>
      </c>
      <c r="H5" s="159"/>
      <c r="I5" s="159"/>
      <c r="J5" s="149"/>
      <c r="K5" s="149"/>
      <c r="L5" s="7">
        <f>L4</f>
        <v>1.6006086588236572</v>
      </c>
      <c r="M5" s="7">
        <f>M4+P4+Q4+R4+S4+T4+U4+V4+W4+X4+Y4+Z4</f>
        <v>5.8362140097783906E-2</v>
      </c>
      <c r="N5" s="7">
        <f>N2+O4</f>
        <v>25.234038271389231</v>
      </c>
      <c r="O5" s="7"/>
      <c r="P5" s="7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</row>
    <row r="6" spans="1:52" ht="21" x14ac:dyDescent="0.35">
      <c r="A6" s="89"/>
      <c r="B6" s="8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</row>
    <row r="7" spans="1:52" ht="21" x14ac:dyDescent="0.35">
      <c r="A7" s="89" t="s">
        <v>92</v>
      </c>
      <c r="B7" s="139">
        <f>100-C7-D7-E7-F7-G7-H7-I7-J7-K7-L7-M7-N7-O7-P7-Q7-R7-S7-T7-U7-V7-W7-X7-Y7-Z7</f>
        <v>62.210554433849957</v>
      </c>
      <c r="C7" s="156">
        <f>C2-D4-E4-F4</f>
        <v>-3.4548077230431851E-3</v>
      </c>
      <c r="D7" s="156">
        <f>D2</f>
        <v>0</v>
      </c>
      <c r="E7" s="156"/>
      <c r="F7" s="156"/>
      <c r="G7" s="156">
        <f>G2-H4-I4-J4-K4</f>
        <v>12.33178747891994</v>
      </c>
      <c r="H7" s="156"/>
      <c r="I7" s="156"/>
      <c r="J7" s="156"/>
      <c r="K7" s="156"/>
      <c r="L7" s="156">
        <f>L2</f>
        <v>0.5008347245409015</v>
      </c>
      <c r="M7" s="156">
        <f>M2-P4-Q4-R4-S4-T4-U4-V4-W4-X4-Y4-Z4</f>
        <v>-5.6100920468972061E-2</v>
      </c>
      <c r="N7" s="156">
        <f>N2-O4</f>
        <v>25.016379090881223</v>
      </c>
      <c r="O7" s="156"/>
      <c r="P7" s="156"/>
      <c r="Q7" s="177"/>
      <c r="R7" s="177"/>
      <c r="S7" s="177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</row>
    <row r="8" spans="1:52" ht="21" x14ac:dyDescent="0.35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</row>
    <row r="9" spans="1:52" ht="21" x14ac:dyDescent="0.35">
      <c r="A9" s="89"/>
      <c r="B9" s="89"/>
      <c r="C9" s="89"/>
      <c r="D9" s="89"/>
      <c r="E9" s="89"/>
      <c r="F9" s="89" t="s">
        <v>7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</row>
    <row r="10" spans="1:52" ht="21" x14ac:dyDescent="0.35">
      <c r="A10" s="89" t="s">
        <v>32</v>
      </c>
      <c r="B10" s="180"/>
      <c r="C10" s="180"/>
      <c r="D10" s="89"/>
      <c r="E10" s="180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</row>
    <row r="11" spans="1:52" ht="21" x14ac:dyDescent="0.35">
      <c r="A11" s="89" t="s">
        <v>33</v>
      </c>
      <c r="B11" s="181"/>
      <c r="C11" s="181"/>
      <c r="D11" s="89"/>
      <c r="E11" s="181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</row>
    <row r="12" spans="1:52" ht="21" x14ac:dyDescent="0.35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</row>
    <row r="13" spans="1:52" ht="21" x14ac:dyDescent="0.35">
      <c r="A13" s="89"/>
      <c r="B13" s="89" t="s">
        <v>14</v>
      </c>
      <c r="C13" s="180" t="s">
        <v>56</v>
      </c>
      <c r="D13" s="180" t="s">
        <v>15</v>
      </c>
      <c r="E13" s="181" t="s">
        <v>8</v>
      </c>
      <c r="F13" s="180" t="s">
        <v>9</v>
      </c>
      <c r="G13" s="180" t="s">
        <v>57</v>
      </c>
      <c r="H13" s="181" t="s">
        <v>58</v>
      </c>
      <c r="I13" s="180" t="s">
        <v>77</v>
      </c>
      <c r="J13" s="181" t="s">
        <v>13</v>
      </c>
      <c r="K13" s="180" t="s">
        <v>16</v>
      </c>
      <c r="L13" s="180" t="s">
        <v>55</v>
      </c>
      <c r="M13" s="181" t="s">
        <v>44</v>
      </c>
      <c r="N13" s="181" t="s">
        <v>10</v>
      </c>
      <c r="O13" s="180" t="s">
        <v>12</v>
      </c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</row>
    <row r="14" spans="1:52" ht="21" x14ac:dyDescent="0.35">
      <c r="A14" s="89" t="s">
        <v>39</v>
      </c>
      <c r="B14" s="89">
        <f>100-(C14+D14+E14+F14+G14+H14+I14+J14+K14+L14+M14+N14+O14)</f>
        <v>60.734386805647837</v>
      </c>
      <c r="C14" s="89">
        <f>C5-C1</f>
        <v>1.335559265442404</v>
      </c>
      <c r="D14" s="89">
        <f>D5-D1</f>
        <v>-1.3390140731654472</v>
      </c>
      <c r="E14" s="89">
        <f t="shared" ref="E14:I14" si="1">E5</f>
        <v>0</v>
      </c>
      <c r="F14" s="89">
        <f t="shared" si="1"/>
        <v>0</v>
      </c>
      <c r="G14" s="89">
        <f t="shared" si="1"/>
        <v>12.376058931764534</v>
      </c>
      <c r="H14" s="89">
        <f t="shared" si="1"/>
        <v>0</v>
      </c>
      <c r="I14" s="89">
        <f t="shared" si="1"/>
        <v>0</v>
      </c>
      <c r="J14" s="89">
        <f>J5-J1</f>
        <v>0</v>
      </c>
      <c r="K14" s="89">
        <f>K5-K1</f>
        <v>0</v>
      </c>
      <c r="L14" s="89">
        <f t="shared" ref="L14:O14" si="2">L5</f>
        <v>1.6006086588236572</v>
      </c>
      <c r="M14" s="89">
        <f t="shared" si="2"/>
        <v>5.8362140097783906E-2</v>
      </c>
      <c r="N14" s="89">
        <f t="shared" si="2"/>
        <v>25.234038271389231</v>
      </c>
      <c r="O14" s="89">
        <f t="shared" si="2"/>
        <v>0</v>
      </c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</row>
    <row r="15" spans="1:52" ht="21" x14ac:dyDescent="0.3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</row>
    <row r="16" spans="1:52" ht="21" x14ac:dyDescent="0.3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</row>
    <row r="17" spans="1:52" ht="21" x14ac:dyDescent="0.35">
      <c r="A17" s="89"/>
      <c r="B17" s="210" t="s">
        <v>14</v>
      </c>
      <c r="C17" s="210" t="s">
        <v>15</v>
      </c>
      <c r="D17" s="210" t="s">
        <v>8</v>
      </c>
      <c r="E17" s="210" t="s">
        <v>9</v>
      </c>
      <c r="F17" s="210" t="s">
        <v>234</v>
      </c>
      <c r="G17" s="210" t="s">
        <v>56</v>
      </c>
      <c r="H17" s="210" t="s">
        <v>57</v>
      </c>
      <c r="I17" s="210" t="s">
        <v>58</v>
      </c>
      <c r="J17" s="210" t="s">
        <v>77</v>
      </c>
      <c r="K17" s="210" t="s">
        <v>204</v>
      </c>
      <c r="L17" s="210" t="s">
        <v>16</v>
      </c>
      <c r="M17" s="210" t="s">
        <v>12</v>
      </c>
      <c r="N17" s="210" t="s">
        <v>44</v>
      </c>
      <c r="O17" s="210" t="s">
        <v>55</v>
      </c>
      <c r="P17" s="210" t="s">
        <v>17</v>
      </c>
      <c r="Q17" s="210" t="s">
        <v>80</v>
      </c>
      <c r="R17" s="210" t="s">
        <v>81</v>
      </c>
      <c r="S17" s="210" t="s">
        <v>82</v>
      </c>
      <c r="T17" s="210" t="s">
        <v>83</v>
      </c>
      <c r="U17" s="210" t="s">
        <v>45</v>
      </c>
      <c r="V17" s="210" t="s">
        <v>43</v>
      </c>
      <c r="W17" s="210" t="s">
        <v>13</v>
      </c>
      <c r="X17" s="210" t="s">
        <v>0</v>
      </c>
      <c r="Y17" s="210" t="s">
        <v>11</v>
      </c>
      <c r="Z17" s="210" t="s">
        <v>10</v>
      </c>
      <c r="AA17" s="211" t="s">
        <v>14</v>
      </c>
      <c r="AB17" s="212" t="s">
        <v>15</v>
      </c>
      <c r="AC17" s="213" t="s">
        <v>8</v>
      </c>
      <c r="AD17" s="214" t="s">
        <v>9</v>
      </c>
      <c r="AE17" s="213" t="s">
        <v>234</v>
      </c>
      <c r="AF17" s="213" t="s">
        <v>56</v>
      </c>
      <c r="AG17" s="214" t="s">
        <v>57</v>
      </c>
      <c r="AH17" s="213" t="s">
        <v>58</v>
      </c>
      <c r="AI17" s="215" t="s">
        <v>77</v>
      </c>
      <c r="AJ17" s="216" t="s">
        <v>204</v>
      </c>
      <c r="AK17" s="216" t="s">
        <v>16</v>
      </c>
      <c r="AL17" s="215" t="s">
        <v>12</v>
      </c>
      <c r="AM17" s="215" t="s">
        <v>44</v>
      </c>
      <c r="AN17" s="216" t="s">
        <v>55</v>
      </c>
      <c r="AO17" s="210" t="s">
        <v>17</v>
      </c>
      <c r="AP17" s="210" t="s">
        <v>80</v>
      </c>
      <c r="AQ17" s="210" t="s">
        <v>81</v>
      </c>
      <c r="AR17" s="210" t="s">
        <v>82</v>
      </c>
      <c r="AS17" s="210" t="s">
        <v>83</v>
      </c>
      <c r="AT17" s="210" t="s">
        <v>45</v>
      </c>
      <c r="AU17" s="210" t="s">
        <v>43</v>
      </c>
      <c r="AV17" s="210" t="s">
        <v>13</v>
      </c>
      <c r="AW17" s="210" t="s">
        <v>0</v>
      </c>
      <c r="AX17" s="210" t="s">
        <v>11</v>
      </c>
      <c r="AY17" s="210" t="s">
        <v>10</v>
      </c>
      <c r="AZ17" s="89"/>
    </row>
    <row r="18" spans="1:52" ht="21" x14ac:dyDescent="0.35">
      <c r="A18" s="89"/>
      <c r="B18" s="217">
        <f>100-C18-D18-E18-F18-G18-H18-I18-J18-K18-L18-M18-N18-O18-P18-Q18-R18-S18-T18-U18-V18-W18-X18-Y18-Z18</f>
        <v>60.684474123539246</v>
      </c>
      <c r="C18" s="218">
        <f>C7</f>
        <v>-3.4548077230431851E-3</v>
      </c>
      <c r="D18" s="218">
        <f t="shared" ref="D18:Z18" si="3">D4</f>
        <v>1.3390140731654472</v>
      </c>
      <c r="E18" s="218">
        <f t="shared" si="3"/>
        <v>0</v>
      </c>
      <c r="F18" s="218">
        <f t="shared" si="3"/>
        <v>0</v>
      </c>
      <c r="G18" s="218">
        <f>G7</f>
        <v>12.33178747891994</v>
      </c>
      <c r="H18" s="218">
        <f t="shared" si="3"/>
        <v>8.8718546811123438E-3</v>
      </c>
      <c r="I18" s="218">
        <f t="shared" si="3"/>
        <v>1.7139854382745025E-3</v>
      </c>
      <c r="J18" s="218">
        <f t="shared" si="3"/>
        <v>3.9237609914021089E-3</v>
      </c>
      <c r="K18" s="218">
        <f t="shared" si="3"/>
        <v>7.6261253115085933E-3</v>
      </c>
      <c r="L18" s="218">
        <f>L7</f>
        <v>0.5008347245409015</v>
      </c>
      <c r="M18" s="218">
        <f>M7</f>
        <v>-5.6100920468972061E-2</v>
      </c>
      <c r="N18" s="218">
        <f>N7</f>
        <v>25.016379090881223</v>
      </c>
      <c r="O18" s="218">
        <f t="shared" si="3"/>
        <v>0.10882959025400381</v>
      </c>
      <c r="P18" s="218">
        <f t="shared" si="3"/>
        <v>0</v>
      </c>
      <c r="Q18" s="218">
        <f t="shared" si="3"/>
        <v>5.6100920468972061E-2</v>
      </c>
      <c r="R18" s="218">
        <f t="shared" si="3"/>
        <v>0</v>
      </c>
      <c r="S18" s="218">
        <f t="shared" si="3"/>
        <v>0</v>
      </c>
      <c r="T18" s="218">
        <f t="shared" si="3"/>
        <v>0</v>
      </c>
      <c r="U18" s="218">
        <f t="shared" si="3"/>
        <v>0</v>
      </c>
      <c r="V18" s="218">
        <f t="shared" si="3"/>
        <v>0</v>
      </c>
      <c r="W18" s="218">
        <f t="shared" si="3"/>
        <v>0</v>
      </c>
      <c r="X18" s="218">
        <f t="shared" si="3"/>
        <v>0</v>
      </c>
      <c r="Y18" s="218">
        <f t="shared" si="3"/>
        <v>0</v>
      </c>
      <c r="Z18" s="218">
        <f t="shared" si="3"/>
        <v>0</v>
      </c>
      <c r="AA18" s="225">
        <v>55.84</v>
      </c>
      <c r="AB18" s="219">
        <v>28.0855</v>
      </c>
      <c r="AC18" s="219">
        <v>58.693399999999997</v>
      </c>
      <c r="AD18" s="219">
        <v>63.545999999999999</v>
      </c>
      <c r="AE18" s="219">
        <v>65.38</v>
      </c>
      <c r="AF18" s="219">
        <v>12.01</v>
      </c>
      <c r="AG18" s="219">
        <v>30.973762000000001</v>
      </c>
      <c r="AH18" s="219">
        <v>32.064999999999998</v>
      </c>
      <c r="AI18" s="219">
        <v>14.0067</v>
      </c>
      <c r="AJ18" s="219">
        <v>10.81</v>
      </c>
      <c r="AK18" s="219">
        <v>54.938043999999998</v>
      </c>
      <c r="AL18" s="219">
        <v>26.981539999999999</v>
      </c>
      <c r="AM18" s="219">
        <v>51.996099999999998</v>
      </c>
      <c r="AN18" s="219">
        <v>95.95</v>
      </c>
      <c r="AO18" s="220">
        <v>47.866999999999997</v>
      </c>
      <c r="AP18" s="220">
        <v>50.941499999999998</v>
      </c>
      <c r="AQ18" s="220">
        <v>92.906369999999995</v>
      </c>
      <c r="AR18" s="220">
        <v>183.84</v>
      </c>
      <c r="AS18" s="220">
        <v>180.94788</v>
      </c>
      <c r="AT18" s="220">
        <v>91.224000000000004</v>
      </c>
      <c r="AU18" s="220">
        <v>58.933194999999998</v>
      </c>
      <c r="AV18" s="220">
        <v>24.305</v>
      </c>
      <c r="AW18" s="219">
        <v>121.76</v>
      </c>
      <c r="AX18" s="219">
        <v>207.2</v>
      </c>
      <c r="AY18" s="219">
        <v>118.71</v>
      </c>
      <c r="AZ18" s="89"/>
    </row>
    <row r="19" spans="1:52" ht="21" x14ac:dyDescent="0.35">
      <c r="A19" s="89"/>
      <c r="B19" s="217">
        <f>100*((((B18)*(AA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68.377664004015273</v>
      </c>
      <c r="C19" s="217">
        <f>100*((((C18)*(AB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-1.9579306234938452E-3</v>
      </c>
      <c r="D19" s="217">
        <f>100*((((D18)*(AC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1.5858630015181445</v>
      </c>
      <c r="E19" s="217">
        <f>100*((((E18)*(AD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F19" s="217">
        <f>100*((((F18)*(AE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G19" s="217">
        <f>100*((((G18)*(AF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2.988548419272715</v>
      </c>
      <c r="H19" s="217">
        <f>100*((((H18)*(AG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5.5449755297837227E-3</v>
      </c>
      <c r="I19" s="217">
        <f>100*((((I18)*(AH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1.1089951059567445E-3</v>
      </c>
      <c r="J19" s="217">
        <f>100*((((J18)*(AI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1.1089951059567445E-3</v>
      </c>
      <c r="K19" s="217">
        <f>100*((((K18)*(AJ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1.6634926589351169E-3</v>
      </c>
      <c r="L19" s="217">
        <f>100*((((L18)*(AK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0.55521204921358236</v>
      </c>
      <c r="M19" s="217">
        <f>100*((((M18)*(AL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-3.0544145386004713E-2</v>
      </c>
      <c r="N19" s="217">
        <f>100*((((N18)*(AM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26.247411327947624</v>
      </c>
      <c r="O19" s="217">
        <f>100*((((O18)*(AN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0.21070907013178145</v>
      </c>
      <c r="P19" s="217">
        <f>100*((((P18)*(AO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Q19" s="217">
        <f>100*((((Q18)*(AP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5.7667745509750713E-2</v>
      </c>
      <c r="R19" s="217">
        <f>100*((((R18)*(AQ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S19" s="217">
        <f>100*((((S18)*(AR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T19" s="217">
        <f>100*((((T18)*(AS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U19" s="217">
        <f>100*((((U18)*(AT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V19" s="217">
        <f>100*((((V18)*(AU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W19" s="217">
        <f>100*((((W18)*(AV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X19" s="219">
        <f>100*((((X18)*(AW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Y19" s="219">
        <f>100*((((Y18)*(AX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Z19" s="219">
        <f>100*((((Z18)*(AY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89"/>
    </row>
    <row r="20" spans="1:52" ht="21" x14ac:dyDescent="0.35">
      <c r="A20" s="89"/>
      <c r="B20" s="89"/>
      <c r="C20" s="89"/>
      <c r="D20" s="89"/>
      <c r="E20" s="89">
        <f>E19/'opt 5'!G6</f>
        <v>0</v>
      </c>
      <c r="F20" s="89">
        <f>F19/'opt 5'!G6</f>
        <v>0</v>
      </c>
      <c r="G20" s="89">
        <f>G19/'opt 5'!G6</f>
        <v>1.0427339448062971</v>
      </c>
      <c r="H20" s="89">
        <f>H19/'opt 5'!G6</f>
        <v>1.9346965137787006E-3</v>
      </c>
      <c r="I20" s="89">
        <f>I19/'opt 5'!G6</f>
        <v>3.8693930275574012E-4</v>
      </c>
      <c r="J20" s="89"/>
      <c r="K20" s="89"/>
      <c r="L20" s="89">
        <f>L19/'opt 5'!G6</f>
        <v>0.19371894614354468</v>
      </c>
      <c r="M20" s="89">
        <f>M19/'opt 5'!G6</f>
        <v>-1.0657152818302519E-2</v>
      </c>
      <c r="N20" s="89">
        <f>N19/'opt 5'!G6</f>
        <v>9.1579800342016124</v>
      </c>
      <c r="O20" s="89">
        <f>O19/'opt 5'!G6</f>
        <v>7.3518467523590619E-2</v>
      </c>
      <c r="P20" s="89">
        <f>P19/'opt 5'!G6</f>
        <v>0</v>
      </c>
      <c r="Q20" s="89">
        <f>Q19/'opt 5'!G6</f>
        <v>2.0120843743298485E-2</v>
      </c>
      <c r="R20" s="89">
        <f>R19/'opt 5'!G6</f>
        <v>0</v>
      </c>
      <c r="S20" s="89">
        <f>S19/'opt 5'!G6</f>
        <v>0</v>
      </c>
      <c r="T20" s="89">
        <f>T19/'opt 5'!G6</f>
        <v>0</v>
      </c>
      <c r="U20" s="89">
        <f>U19/'opt 5'!G6</f>
        <v>0</v>
      </c>
      <c r="V20" s="89">
        <f>V19/'opt 5'!G6</f>
        <v>0</v>
      </c>
      <c r="W20" s="89">
        <f>W19/'opt 5'!G6</f>
        <v>0</v>
      </c>
      <c r="X20" s="89">
        <f>X19/'opt 5'!G6</f>
        <v>0</v>
      </c>
      <c r="Y20" s="89">
        <f>Y19/'opt 5'!G6</f>
        <v>0</v>
      </c>
      <c r="Z20" s="89">
        <f>Z19/'opt 5'!G6</f>
        <v>0</v>
      </c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</row>
    <row r="21" spans="1:52" ht="21" x14ac:dyDescent="0.3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</row>
    <row r="22" spans="1:52" ht="21" x14ac:dyDescent="0.3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</row>
    <row r="23" spans="1:52" ht="21" x14ac:dyDescent="0.3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</row>
    <row r="24" spans="1:52" ht="21" x14ac:dyDescent="0.3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</row>
    <row r="25" spans="1:52" ht="21" x14ac:dyDescent="0.3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</row>
  </sheetData>
  <pageMargins left="0.7" right="0.7" top="0.75" bottom="0.75" header="0.3" footer="0.3"/>
  <pageSetup paperSize="9" orientation="portrait" verticalDpi="597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7B0DC-0D74-4BEB-92F5-FBA821ABCAD5}">
  <dimension ref="A1:AX4"/>
  <sheetViews>
    <sheetView zoomScale="82" zoomScaleNormal="82" workbookViewId="0">
      <selection activeCell="P40" sqref="P40"/>
    </sheetView>
  </sheetViews>
  <sheetFormatPr baseColWidth="10" defaultRowHeight="15" x14ac:dyDescent="0.25"/>
  <cols>
    <col min="2" max="2" width="14.42578125" customWidth="1"/>
    <col min="3" max="3" width="16.28515625" customWidth="1"/>
  </cols>
  <sheetData>
    <row r="1" spans="1:50" ht="18" x14ac:dyDescent="0.25">
      <c r="A1" s="210" t="s">
        <v>14</v>
      </c>
      <c r="B1" s="210" t="s">
        <v>15</v>
      </c>
      <c r="C1" s="210" t="s">
        <v>8</v>
      </c>
      <c r="D1" s="210" t="s">
        <v>9</v>
      </c>
      <c r="E1" s="210" t="s">
        <v>234</v>
      </c>
      <c r="F1" s="210" t="s">
        <v>56</v>
      </c>
      <c r="G1" s="210" t="s">
        <v>57</v>
      </c>
      <c r="H1" s="210" t="s">
        <v>58</v>
      </c>
      <c r="I1" s="210" t="s">
        <v>77</v>
      </c>
      <c r="J1" s="210" t="s">
        <v>204</v>
      </c>
      <c r="K1" s="210" t="s">
        <v>16</v>
      </c>
      <c r="L1" s="210" t="s">
        <v>12</v>
      </c>
      <c r="M1" s="210" t="s">
        <v>44</v>
      </c>
      <c r="N1" s="210" t="s">
        <v>55</v>
      </c>
      <c r="O1" s="210" t="s">
        <v>17</v>
      </c>
      <c r="P1" s="210" t="s">
        <v>80</v>
      </c>
      <c r="Q1" s="210" t="s">
        <v>81</v>
      </c>
      <c r="R1" s="210" t="s">
        <v>82</v>
      </c>
      <c r="S1" s="210" t="s">
        <v>83</v>
      </c>
      <c r="T1" s="210" t="s">
        <v>45</v>
      </c>
      <c r="U1" s="210" t="s">
        <v>43</v>
      </c>
      <c r="V1" s="210" t="s">
        <v>13</v>
      </c>
      <c r="W1" s="210" t="s">
        <v>0</v>
      </c>
      <c r="X1" s="210" t="s">
        <v>11</v>
      </c>
      <c r="Y1" s="210" t="s">
        <v>10</v>
      </c>
      <c r="Z1" s="210" t="s">
        <v>14</v>
      </c>
      <c r="AA1" s="210" t="s">
        <v>15</v>
      </c>
      <c r="AB1" s="210" t="s">
        <v>8</v>
      </c>
      <c r="AC1" s="210" t="s">
        <v>9</v>
      </c>
      <c r="AD1" s="210" t="s">
        <v>234</v>
      </c>
      <c r="AE1" s="210" t="s">
        <v>56</v>
      </c>
      <c r="AF1" s="210" t="s">
        <v>57</v>
      </c>
      <c r="AG1" s="210" t="s">
        <v>58</v>
      </c>
      <c r="AH1" s="210" t="s">
        <v>77</v>
      </c>
      <c r="AI1" s="210" t="s">
        <v>204</v>
      </c>
      <c r="AJ1" s="210" t="s">
        <v>16</v>
      </c>
      <c r="AK1" s="210" t="s">
        <v>12</v>
      </c>
      <c r="AL1" s="210" t="s">
        <v>44</v>
      </c>
      <c r="AM1" s="210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13</v>
      </c>
      <c r="AV1" s="210" t="s">
        <v>0</v>
      </c>
      <c r="AW1" s="210" t="s">
        <v>11</v>
      </c>
      <c r="AX1" s="210" t="s">
        <v>10</v>
      </c>
    </row>
    <row r="2" spans="1:50" ht="23.25" x14ac:dyDescent="0.35">
      <c r="A2" s="36">
        <f>100-B2-C2-D2-E2-F2-G2-H2-I2-J2-K2-L2-M2-N2-O2-P2-Q2-R2-S2-T2-U2-V2-W2-X2-Y2</f>
        <v>60.183639398998324</v>
      </c>
      <c r="B2" s="71">
        <f>'1.0330_3'!C8</f>
        <v>1.335559265442404</v>
      </c>
      <c r="C2" s="71">
        <f>'1.0330_3'!D8</f>
        <v>0</v>
      </c>
      <c r="D2" s="71">
        <f>'1.0330_3'!E8</f>
        <v>0</v>
      </c>
      <c r="E2" s="71">
        <f>'1.0330_3'!F8</f>
        <v>0</v>
      </c>
      <c r="F2" s="71">
        <f>'1.0330_3'!G8</f>
        <v>12.353923205342237</v>
      </c>
      <c r="G2" s="71">
        <f>'1.0330_3'!H8</f>
        <v>0</v>
      </c>
      <c r="H2" s="71">
        <f>'1.0330_3'!I8</f>
        <v>0</v>
      </c>
      <c r="I2" s="71">
        <f>'1.0330_3'!J8</f>
        <v>0</v>
      </c>
      <c r="J2" s="71">
        <f>'1.0330_3'!K8</f>
        <v>0</v>
      </c>
      <c r="K2" s="71">
        <f>'1.0330_3'!L8</f>
        <v>0.5008347245409015</v>
      </c>
      <c r="L2" s="71">
        <f>'1.0330_3'!M8</f>
        <v>0</v>
      </c>
      <c r="M2" s="71">
        <f>'1.0330_3'!N8</f>
        <v>25.125208681135227</v>
      </c>
      <c r="N2" s="71">
        <f>'1.0330_3'!O8</f>
        <v>0.5008347245409015</v>
      </c>
      <c r="O2" s="71">
        <f>'1.0330_3'!P8</f>
        <v>0</v>
      </c>
      <c r="P2" s="71">
        <f>'1.0330_3'!Q8</f>
        <v>0</v>
      </c>
      <c r="Q2" s="71">
        <f>'1.0330_3'!R8</f>
        <v>0</v>
      </c>
      <c r="R2" s="71">
        <f>'1.0330_3'!S8</f>
        <v>0</v>
      </c>
      <c r="S2" s="71">
        <f>'1.0330_3'!T8</f>
        <v>0</v>
      </c>
      <c r="T2" s="71">
        <f>'1.0330_3'!U8</f>
        <v>0</v>
      </c>
      <c r="U2" s="71">
        <f>'1.0330_3'!V8</f>
        <v>0</v>
      </c>
      <c r="V2" s="71">
        <f>'1.0330_3'!W8</f>
        <v>0</v>
      </c>
      <c r="W2" s="71">
        <f>'1.0330_3'!X8</f>
        <v>0</v>
      </c>
      <c r="X2" s="71">
        <f>'1.0330_3'!Y8</f>
        <v>0</v>
      </c>
      <c r="Y2" s="71">
        <f>'1.0330_3'!Z8</f>
        <v>0</v>
      </c>
      <c r="Z2" s="68">
        <v>55.84</v>
      </c>
      <c r="AA2" s="7">
        <v>28.0855</v>
      </c>
      <c r="AB2" s="7">
        <v>58.693399999999997</v>
      </c>
      <c r="AC2" s="7">
        <v>63.545999999999999</v>
      </c>
      <c r="AD2" s="7">
        <v>65.38</v>
      </c>
      <c r="AE2" s="7">
        <v>12.01</v>
      </c>
      <c r="AF2" s="7">
        <v>30.973762000000001</v>
      </c>
      <c r="AG2" s="7">
        <v>32.064999999999998</v>
      </c>
      <c r="AH2" s="7">
        <v>14.0067</v>
      </c>
      <c r="AI2" s="7">
        <v>10.81</v>
      </c>
      <c r="AJ2" s="7">
        <v>54.938043999999998</v>
      </c>
      <c r="AK2" s="7">
        <v>26.981539999999999</v>
      </c>
      <c r="AL2" s="7">
        <v>51.996099999999998</v>
      </c>
      <c r="AM2" s="7">
        <v>95.95</v>
      </c>
      <c r="AN2">
        <v>47.866999999999997</v>
      </c>
      <c r="AO2">
        <v>50.941499999999998</v>
      </c>
      <c r="AP2">
        <v>92.906369999999995</v>
      </c>
      <c r="AQ2">
        <v>183.84</v>
      </c>
      <c r="AR2">
        <v>180.94788</v>
      </c>
      <c r="AS2">
        <v>91.224000000000004</v>
      </c>
      <c r="AT2">
        <v>58.933194999999998</v>
      </c>
      <c r="AU2">
        <v>24.305</v>
      </c>
      <c r="AV2" s="7">
        <v>121.76</v>
      </c>
      <c r="AW2" s="7">
        <v>207.2</v>
      </c>
      <c r="AX2" s="7">
        <v>118.71</v>
      </c>
    </row>
    <row r="3" spans="1:50" ht="18.75" x14ac:dyDescent="0.3">
      <c r="A3" s="36">
        <f>100*((((A2)*(Z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68.187934192467182</v>
      </c>
      <c r="B3" s="36">
        <f>100*((((B2)*(AA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0.76107770795994778</v>
      </c>
      <c r="C3" s="36">
        <f>100*((((C2)*(AB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D3" s="36">
        <f>100*((((D2)*(AC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E3" s="36">
        <f>100*((((E2)*(AD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F3" s="36">
        <f>100*((((F2)*(AE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3.0104511321336815</v>
      </c>
      <c r="G3" s="36">
        <f>100*((((G2)*(AF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H3" s="36">
        <f>100*((((H2)*(AG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I3" s="36">
        <f>100*((((I2)*(AH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J3" s="36">
        <f>100*((((J2)*(AI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K3" s="36">
        <f>100*((((K2)*(AJ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0.5582790132896347</v>
      </c>
      <c r="L3" s="36">
        <f>100*((((L2)*(AK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M3" s="36">
        <f>100*((((M2)*(AL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26.507216481520114</v>
      </c>
      <c r="N3" s="36">
        <f>100*((((N2)*(AM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0.97504147262943064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W2))+((X2)/(AW2))+((Y2)/(AX2)))))</f>
        <v>0</v>
      </c>
      <c r="P3" s="36">
        <f>100*((((P2)*(AO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Q3" s="36">
        <f>100*((((Q2)*(AP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R3" s="36">
        <f>100*((((R2)*(AQ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S3" s="36">
        <f>100*((((S2)*(AR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T3" s="36">
        <f>100*((((T2)*(AS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U3" s="36">
        <f>100*((((U2)*(AT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V3" s="36">
        <f>100*((((V2)*(AU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W3" s="7">
        <f>100*((((W2)*(AV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X3" s="7">
        <f>100*((((X2)*(AW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Y3" s="7">
        <f>100*((((Y2)*(AX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Z3" s="68">
        <v>55.84</v>
      </c>
      <c r="AA3" s="7">
        <v>95.94</v>
      </c>
      <c r="AB3" s="7">
        <v>183.85</v>
      </c>
      <c r="AC3" s="7">
        <v>58.933199999999999</v>
      </c>
      <c r="AD3" s="7">
        <v>63.54</v>
      </c>
      <c r="AE3" s="7">
        <v>12.01</v>
      </c>
      <c r="AF3" s="7">
        <v>28.085000000000001</v>
      </c>
      <c r="AG3" s="7">
        <v>47.88</v>
      </c>
      <c r="AH3" s="7">
        <v>58.692999999999998</v>
      </c>
      <c r="AI3" s="7">
        <v>51.99</v>
      </c>
      <c r="AJ3" s="7">
        <v>54.93</v>
      </c>
      <c r="AK3" s="7">
        <v>92.9</v>
      </c>
      <c r="AL3" s="7">
        <v>14.0067</v>
      </c>
      <c r="AM3" s="7">
        <v>26.981539999999999</v>
      </c>
    </row>
    <row r="4" spans="1:50" ht="15.75" x14ac:dyDescent="0.25">
      <c r="A4" s="8"/>
      <c r="B4" s="9"/>
    </row>
  </sheetData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D8D08-602E-4800-9AE4-599818B20953}">
  <dimension ref="A1:AX5"/>
  <sheetViews>
    <sheetView zoomScale="136" zoomScaleNormal="136" workbookViewId="0">
      <selection activeCell="Z1" sqref="Z1:AX1"/>
    </sheetView>
  </sheetViews>
  <sheetFormatPr baseColWidth="10" defaultRowHeight="15" x14ac:dyDescent="0.25"/>
  <cols>
    <col min="2" max="2" width="12" customWidth="1"/>
    <col min="4" max="4" width="10.42578125" customWidth="1"/>
    <col min="5" max="5" width="9" customWidth="1"/>
    <col min="6" max="6" width="9.7109375" customWidth="1"/>
    <col min="7" max="7" width="7.28515625" customWidth="1"/>
    <col min="8" max="8" width="10.85546875" customWidth="1"/>
    <col min="9" max="9" width="15" customWidth="1"/>
    <col min="10" max="10" width="12.5703125" customWidth="1"/>
    <col min="11" max="11" width="10.140625" customWidth="1"/>
    <col min="12" max="12" width="7.28515625" customWidth="1"/>
    <col min="13" max="14" width="6.85546875" customWidth="1"/>
  </cols>
  <sheetData>
    <row r="1" spans="1:50" ht="18.75" x14ac:dyDescent="0.3">
      <c r="A1" s="210" t="s">
        <v>14</v>
      </c>
      <c r="B1" s="210" t="s">
        <v>15</v>
      </c>
      <c r="C1" s="210" t="s">
        <v>8</v>
      </c>
      <c r="D1" s="210" t="s">
        <v>9</v>
      </c>
      <c r="E1" s="210" t="s">
        <v>234</v>
      </c>
      <c r="F1" s="210" t="s">
        <v>56</v>
      </c>
      <c r="G1" s="210" t="s">
        <v>57</v>
      </c>
      <c r="H1" s="210" t="s">
        <v>58</v>
      </c>
      <c r="I1" s="210" t="s">
        <v>77</v>
      </c>
      <c r="J1" s="210" t="s">
        <v>204</v>
      </c>
      <c r="K1" s="210" t="s">
        <v>16</v>
      </c>
      <c r="L1" s="210" t="s">
        <v>12</v>
      </c>
      <c r="M1" s="210" t="s">
        <v>44</v>
      </c>
      <c r="N1" s="210" t="s">
        <v>55</v>
      </c>
      <c r="O1" s="210" t="s">
        <v>17</v>
      </c>
      <c r="P1" s="210" t="s">
        <v>80</v>
      </c>
      <c r="Q1" s="210" t="s">
        <v>81</v>
      </c>
      <c r="R1" s="210" t="s">
        <v>82</v>
      </c>
      <c r="S1" s="210" t="s">
        <v>83</v>
      </c>
      <c r="T1" s="210" t="s">
        <v>45</v>
      </c>
      <c r="U1" s="210" t="s">
        <v>43</v>
      </c>
      <c r="V1" s="210" t="s">
        <v>13</v>
      </c>
      <c r="W1" s="210" t="s">
        <v>0</v>
      </c>
      <c r="X1" s="210" t="s">
        <v>11</v>
      </c>
      <c r="Y1" s="210" t="s">
        <v>10</v>
      </c>
      <c r="Z1" s="67" t="s">
        <v>14</v>
      </c>
      <c r="AA1" s="58" t="s">
        <v>15</v>
      </c>
      <c r="AB1" s="59" t="s">
        <v>8</v>
      </c>
      <c r="AC1" s="60" t="s">
        <v>9</v>
      </c>
      <c r="AD1" s="59" t="s">
        <v>234</v>
      </c>
      <c r="AE1" s="59" t="s">
        <v>56</v>
      </c>
      <c r="AF1" s="60" t="s">
        <v>57</v>
      </c>
      <c r="AG1" s="59" t="s">
        <v>58</v>
      </c>
      <c r="AH1" s="61" t="s">
        <v>77</v>
      </c>
      <c r="AI1" s="62" t="s">
        <v>204</v>
      </c>
      <c r="AJ1" s="62" t="s">
        <v>16</v>
      </c>
      <c r="AK1" s="63" t="s">
        <v>12</v>
      </c>
      <c r="AL1" s="63" t="s">
        <v>44</v>
      </c>
      <c r="AM1" s="62" t="s">
        <v>55</v>
      </c>
      <c r="AN1" s="35" t="s">
        <v>17</v>
      </c>
      <c r="AO1" s="35" t="s">
        <v>80</v>
      </c>
      <c r="AP1" s="35" t="s">
        <v>81</v>
      </c>
      <c r="AQ1" s="35" t="s">
        <v>82</v>
      </c>
      <c r="AR1" s="35" t="s">
        <v>83</v>
      </c>
      <c r="AS1" s="35" t="s">
        <v>45</v>
      </c>
      <c r="AT1" s="35" t="s">
        <v>43</v>
      </c>
      <c r="AU1" s="35" t="s">
        <v>13</v>
      </c>
      <c r="AV1" s="35" t="s">
        <v>0</v>
      </c>
      <c r="AW1" s="35" t="s">
        <v>11</v>
      </c>
      <c r="AX1" s="35" t="s">
        <v>10</v>
      </c>
    </row>
    <row r="2" spans="1:50" ht="18.75" x14ac:dyDescent="0.3">
      <c r="A2" s="36">
        <f>100-B2-C2-D2-E2-F2-G2-H2-I2-J2-K2-L2-M2-N2-O2-P2-Q2-R2-S2-T2-U2-V2-W2-X2-Y2</f>
        <v>57.650326735723645</v>
      </c>
      <c r="B2" s="37">
        <f>'Tab1EQ 5_2'!C5</f>
        <v>3.0806052622011419</v>
      </c>
      <c r="C2" s="37">
        <f>'Tab1EQ 5_2'!D5</f>
        <v>0</v>
      </c>
      <c r="D2" s="37">
        <f>'Tab1EQ 5_2'!E5</f>
        <v>0</v>
      </c>
      <c r="E2" s="37">
        <f>'Tab1EQ 5_2'!F5</f>
        <v>0</v>
      </c>
      <c r="F2" s="37">
        <f>'Tab1EQ 5_2'!G5</f>
        <v>12.376058931764534</v>
      </c>
      <c r="G2" s="37">
        <f>'Tab1EQ 5_2'!H5</f>
        <v>0</v>
      </c>
      <c r="H2" s="37">
        <f>'Tab1EQ 5_2'!I5</f>
        <v>0</v>
      </c>
      <c r="I2" s="37">
        <f>'Tab1EQ 5_2'!J5</f>
        <v>0</v>
      </c>
      <c r="J2" s="37">
        <f>'Tab1EQ 5_2'!K5</f>
        <v>0</v>
      </c>
      <c r="K2" s="37">
        <f>'Tab1EQ 5_2'!L5</f>
        <v>1.6006086588236572</v>
      </c>
      <c r="L2" s="37">
        <f>'Tab1EQ 5_2'!M5</f>
        <v>5.8362140097783906E-2</v>
      </c>
      <c r="M2" s="37">
        <f>'Tab1EQ 5_2'!N5</f>
        <v>25.234038271389231</v>
      </c>
      <c r="N2" s="37">
        <f>'Tab1EQ 5_2'!O5</f>
        <v>0</v>
      </c>
      <c r="O2" s="37">
        <f>'Tab1EQ 5_2'!P5</f>
        <v>0</v>
      </c>
      <c r="P2" s="37">
        <f>'Tab1EQ 5_2'!Q5</f>
        <v>0</v>
      </c>
      <c r="Q2" s="37">
        <f>'Tab1EQ 5_2'!R5</f>
        <v>0</v>
      </c>
      <c r="R2" s="37">
        <f>'Tab1EQ 5_2'!S5</f>
        <v>0</v>
      </c>
      <c r="S2" s="37">
        <f>'Tab1EQ 5_2'!T5</f>
        <v>0</v>
      </c>
      <c r="T2" s="37">
        <f>'Tab1EQ 5_2'!U5</f>
        <v>0</v>
      </c>
      <c r="U2" s="37">
        <f>'Tab1EQ 5_2'!V5</f>
        <v>0</v>
      </c>
      <c r="V2" s="37">
        <f>'Tab1EQ 5_2'!W5</f>
        <v>0</v>
      </c>
      <c r="W2" s="37">
        <f>'Tab1EQ 5_2'!X5</f>
        <v>0</v>
      </c>
      <c r="X2" s="37">
        <f>'Tab1EQ 5_2'!Y5</f>
        <v>0</v>
      </c>
      <c r="Y2" s="37">
        <f>'Tab1EQ 5_2'!Z5</f>
        <v>0</v>
      </c>
      <c r="Z2" s="68">
        <v>55.84</v>
      </c>
      <c r="AA2" s="7">
        <v>28.0855</v>
      </c>
      <c r="AB2" s="7">
        <v>58.693399999999997</v>
      </c>
      <c r="AC2" s="7">
        <v>63.545999999999999</v>
      </c>
      <c r="AD2" s="7">
        <v>65.38</v>
      </c>
      <c r="AE2" s="7">
        <v>12.01</v>
      </c>
      <c r="AF2" s="7">
        <v>30.973762000000001</v>
      </c>
      <c r="AG2" s="7">
        <v>32.064999999999998</v>
      </c>
      <c r="AH2" s="7">
        <v>14.0067</v>
      </c>
      <c r="AI2" s="7">
        <v>10.81</v>
      </c>
      <c r="AJ2" s="7">
        <v>54.938043999999998</v>
      </c>
      <c r="AK2" s="7">
        <v>26.981539999999999</v>
      </c>
      <c r="AL2" s="7">
        <v>51.996099999999998</v>
      </c>
      <c r="AM2" s="7">
        <v>95.95</v>
      </c>
      <c r="AN2">
        <v>47.866999999999997</v>
      </c>
      <c r="AO2">
        <v>50.941499999999998</v>
      </c>
      <c r="AP2">
        <v>92.906369999999995</v>
      </c>
      <c r="AQ2">
        <v>183.84</v>
      </c>
      <c r="AR2">
        <v>180.94788</v>
      </c>
      <c r="AS2">
        <v>91.224000000000004</v>
      </c>
      <c r="AT2">
        <v>58.933194999999998</v>
      </c>
      <c r="AU2">
        <v>24.305</v>
      </c>
      <c r="AV2" s="7">
        <v>121.76</v>
      </c>
      <c r="AW2" s="7">
        <v>207.2</v>
      </c>
      <c r="AX2" s="7">
        <v>118.71</v>
      </c>
    </row>
    <row r="3" spans="1:50" ht="18.75" x14ac:dyDescent="0.3">
      <c r="A3" s="36">
        <f>100*((((A2)*(Z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66.294060225350506</v>
      </c>
      <c r="B3" s="36">
        <f>100*((((B2)*(AA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1.7817454102060588</v>
      </c>
      <c r="C3" s="36">
        <f>100*((((C2)*(AB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D3" s="36">
        <f>100*((((D2)*(AC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E3" s="36">
        <f>100*((((E2)*(AD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F3" s="36">
        <f>100*((((F2)*(AE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3.0609258703792963</v>
      </c>
      <c r="G3" s="36">
        <f>100*((((G2)*(AF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H3" s="36">
        <f>100*((((H2)*(AG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I3" s="36">
        <f>100*((((I2)*(AH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J3" s="36">
        <f>100*((((J2)*(AI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K3" s="36">
        <f>100*((((K2)*(AJ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1.8108638150550285</v>
      </c>
      <c r="L3" s="36">
        <f>100*((((L2)*(AK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3.2428389334233587E-2</v>
      </c>
      <c r="M3" s="36">
        <f>100*((((M2)*(AL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27.019976289674879</v>
      </c>
      <c r="N3" s="36">
        <f>100*((((N2)*(AM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W2))+((X2)/(AW2))+((Y2)/(AX2)))))</f>
        <v>0</v>
      </c>
      <c r="P3" s="36">
        <f>100*((((P2)*(AO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Q3" s="36">
        <f>100*((((Q2)*(AP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R3" s="36">
        <f>100*((((R2)*(AQ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S3" s="36">
        <f>100*((((S2)*(AR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T3" s="36">
        <f>100*((((T2)*(AS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U3" s="36">
        <f>100*((((U2)*(AT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V3" s="36">
        <f>100*((((V2)*(AU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W3" s="7">
        <f>100*((((W2)*(AV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X3" s="7">
        <f>100*((((X2)*(AW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Y3" s="7">
        <f>100*((((Y2)*(AX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Z3" s="68">
        <v>55.84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50" ht="15.75" x14ac:dyDescent="0.25">
      <c r="A4" s="8"/>
    </row>
    <row r="5" spans="1:50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5C73-33B1-43B0-86DD-6410C47FF169}">
  <dimension ref="A1:AX45"/>
  <sheetViews>
    <sheetView zoomScale="91" zoomScaleNormal="91" workbookViewId="0">
      <selection activeCell="X6" sqref="X6:Y21"/>
    </sheetView>
  </sheetViews>
  <sheetFormatPr baseColWidth="10" defaultRowHeight="15" x14ac:dyDescent="0.25"/>
  <cols>
    <col min="1" max="1" width="19.85546875" customWidth="1"/>
    <col min="2" max="2" width="14.85546875" customWidth="1"/>
    <col min="3" max="3" width="7.5703125" customWidth="1"/>
    <col min="4" max="4" width="8" customWidth="1"/>
    <col min="5" max="5" width="8.7109375" customWidth="1"/>
    <col min="6" max="6" width="10" customWidth="1"/>
    <col min="7" max="7" width="10.5703125" customWidth="1"/>
    <col min="8" max="8" width="11.140625" customWidth="1"/>
    <col min="9" max="9" width="8.7109375" customWidth="1"/>
    <col min="10" max="10" width="11.85546875" customWidth="1"/>
    <col min="11" max="11" width="11.140625" customWidth="1"/>
    <col min="12" max="12" width="8.5703125" customWidth="1"/>
    <col min="13" max="13" width="9.7109375" customWidth="1"/>
    <col min="14" max="14" width="9" customWidth="1"/>
    <col min="15" max="15" width="9.7109375" customWidth="1"/>
    <col min="16" max="16" width="7.7109375" customWidth="1"/>
    <col min="17" max="17" width="23.28515625" customWidth="1"/>
    <col min="18" max="18" width="7.7109375" customWidth="1"/>
    <col min="19" max="19" width="8.140625" customWidth="1"/>
    <col min="20" max="20" width="7.42578125" customWidth="1"/>
    <col min="21" max="21" width="7.5703125" customWidth="1"/>
  </cols>
  <sheetData>
    <row r="1" spans="1:25" ht="15.75" x14ac:dyDescent="0.25">
      <c r="A1" s="3">
        <f>SUM(B1:Y1)</f>
        <v>115.81</v>
      </c>
      <c r="B1" s="64">
        <v>84</v>
      </c>
      <c r="C1" s="64">
        <v>26</v>
      </c>
      <c r="D1" s="3"/>
      <c r="E1" s="3">
        <v>3</v>
      </c>
      <c r="F1" s="3">
        <v>0.2</v>
      </c>
      <c r="G1" s="26">
        <v>0.05</v>
      </c>
      <c r="H1" s="3"/>
      <c r="I1" s="26">
        <v>0.75</v>
      </c>
      <c r="J1" s="4">
        <v>1</v>
      </c>
      <c r="K1" s="64">
        <v>0.16</v>
      </c>
      <c r="L1" s="4">
        <v>0.15</v>
      </c>
      <c r="M1" s="65"/>
      <c r="N1" s="26"/>
      <c r="O1" s="4"/>
      <c r="T1">
        <v>0.5</v>
      </c>
    </row>
    <row r="2" spans="1:25" ht="26.25" x14ac:dyDescent="0.4">
      <c r="A2" s="97" t="s">
        <v>14</v>
      </c>
      <c r="B2" s="97" t="s">
        <v>56</v>
      </c>
      <c r="C2" s="97" t="s">
        <v>15</v>
      </c>
      <c r="D2" s="97" t="s">
        <v>8</v>
      </c>
      <c r="E2" s="97" t="s">
        <v>9</v>
      </c>
      <c r="F2" s="97" t="s">
        <v>57</v>
      </c>
      <c r="G2" s="97" t="s">
        <v>58</v>
      </c>
      <c r="H2" s="97" t="s">
        <v>77</v>
      </c>
      <c r="I2" s="97" t="s">
        <v>13</v>
      </c>
      <c r="J2" s="97" t="s">
        <v>16</v>
      </c>
      <c r="K2" s="97" t="s">
        <v>55</v>
      </c>
      <c r="L2" s="97" t="s">
        <v>44</v>
      </c>
      <c r="M2" s="97" t="s">
        <v>43</v>
      </c>
      <c r="N2" s="97" t="s">
        <v>12</v>
      </c>
      <c r="O2" s="33" t="s">
        <v>80</v>
      </c>
      <c r="P2" s="33" t="s">
        <v>81</v>
      </c>
      <c r="Q2" s="33" t="s">
        <v>82</v>
      </c>
      <c r="R2" s="33" t="s">
        <v>83</v>
      </c>
      <c r="S2" s="33" t="s">
        <v>45</v>
      </c>
      <c r="T2" s="33" t="s">
        <v>17</v>
      </c>
      <c r="U2" s="33" t="s">
        <v>84</v>
      </c>
      <c r="V2" s="33" t="s">
        <v>0</v>
      </c>
      <c r="W2" s="33" t="s">
        <v>11</v>
      </c>
      <c r="X2" s="33" t="s">
        <v>10</v>
      </c>
      <c r="Y2" s="33" t="s">
        <v>46</v>
      </c>
    </row>
    <row r="3" spans="1:25" ht="15.75" x14ac:dyDescent="0.25">
      <c r="A3" s="3">
        <f>100-SUM(B3:Y3)</f>
        <v>80.527876747203649</v>
      </c>
      <c r="B3" s="6">
        <v>14.53198554041257</v>
      </c>
      <c r="C3" s="6">
        <v>4.6285137452221541</v>
      </c>
      <c r="D3" s="6">
        <v>0</v>
      </c>
      <c r="E3" s="6">
        <v>0</v>
      </c>
      <c r="F3" s="6">
        <v>4.1969110110498295E-2</v>
      </c>
      <c r="G3" s="6">
        <v>7.5075583041066367E-3</v>
      </c>
      <c r="H3" s="6">
        <v>0</v>
      </c>
      <c r="I3" s="6">
        <v>8.3198140258296902E-2</v>
      </c>
      <c r="J3" s="6">
        <v>0.17527370069540829</v>
      </c>
      <c r="K3" s="6">
        <v>0</v>
      </c>
      <c r="L3" s="6">
        <v>0</v>
      </c>
      <c r="M3" s="6">
        <v>0</v>
      </c>
      <c r="N3" s="6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3.675457793321769E-3</v>
      </c>
      <c r="Y3">
        <v>0</v>
      </c>
    </row>
    <row r="4" spans="1:25" ht="15.75" x14ac:dyDescent="0.25">
      <c r="A4" s="3"/>
      <c r="B4" s="27">
        <f>A3/B3</f>
        <v>5.5414228512174413</v>
      </c>
      <c r="C4" s="27">
        <f>A3/C3</f>
        <v>17.398214887085437</v>
      </c>
      <c r="D4" s="27" t="e">
        <f>A3/D3</f>
        <v>#DIV/0!</v>
      </c>
      <c r="E4" s="27" t="e">
        <f>A3/E3</f>
        <v>#DIV/0!</v>
      </c>
      <c r="F4" s="28">
        <f>A3/F3</f>
        <v>1918.7415824444688</v>
      </c>
      <c r="G4" s="28">
        <f>A3/G3</f>
        <v>10726.240607835824</v>
      </c>
      <c r="H4" s="28" t="e">
        <f>A3/H3</f>
        <v>#DIV/0!</v>
      </c>
      <c r="I4" s="38">
        <f>A3/I3</f>
        <v>967.90476923158189</v>
      </c>
      <c r="J4" s="38">
        <f>A3/J3</f>
        <v>459.44072857311028</v>
      </c>
      <c r="K4" s="38" t="e">
        <f>A3/K3</f>
        <v>#DIV/0!</v>
      </c>
      <c r="L4" s="38" t="e">
        <f>A3/L3</f>
        <v>#DIV/0!</v>
      </c>
      <c r="M4" s="38" t="e">
        <f>A3/M3</f>
        <v>#DIV/0!</v>
      </c>
      <c r="N4" s="38" t="e">
        <f>A3/N3</f>
        <v>#DIV/0!</v>
      </c>
      <c r="O4" t="e">
        <f>A3/O3</f>
        <v>#DIV/0!</v>
      </c>
      <c r="P4" t="e">
        <f>A3/P3</f>
        <v>#DIV/0!</v>
      </c>
      <c r="Q4" t="e">
        <f>A3/Q3</f>
        <v>#DIV/0!</v>
      </c>
      <c r="R4" t="e">
        <f>A3/R3</f>
        <v>#DIV/0!</v>
      </c>
      <c r="S4" t="e">
        <f>A3/S3</f>
        <v>#DIV/0!</v>
      </c>
      <c r="T4" t="e">
        <f>A3/T3</f>
        <v>#DIV/0!</v>
      </c>
      <c r="U4" t="e">
        <f>A3/U3</f>
        <v>#DIV/0!</v>
      </c>
      <c r="V4" t="e">
        <f>A3/V3</f>
        <v>#DIV/0!</v>
      </c>
      <c r="W4" t="e">
        <f>A3/W3</f>
        <v>#DIV/0!</v>
      </c>
      <c r="X4">
        <f>A3/X3</f>
        <v>21909.618141588006</v>
      </c>
      <c r="Y4" t="e">
        <f t="shared" ref="Y4" si="0">K3/Y3</f>
        <v>#DIV/0!</v>
      </c>
    </row>
    <row r="5" spans="1:25" x14ac:dyDescent="0.25">
      <c r="B5">
        <f>599*A3/100/B4</f>
        <v>87.046593387071283</v>
      </c>
      <c r="C5">
        <f>599*A3/100/C4</f>
        <v>27.724797333880701</v>
      </c>
      <c r="D5" t="e">
        <f>599*A3/100/D4</f>
        <v>#DIV/0!</v>
      </c>
      <c r="E5" t="e">
        <f>599*A3/100/E4</f>
        <v>#DIV/0!</v>
      </c>
      <c r="F5">
        <f>599*A3/100/F4</f>
        <v>0.25139496956188478</v>
      </c>
      <c r="G5">
        <f>599*A3/100/G4</f>
        <v>4.4970274241598746E-2</v>
      </c>
      <c r="H5" t="e">
        <f>599*A3/100/H4</f>
        <v>#DIV/0!</v>
      </c>
      <c r="I5">
        <f>599*A3/100/I4</f>
        <v>0.49835686014719843</v>
      </c>
      <c r="J5">
        <f>599*A3/100/J4</f>
        <v>1.0498894671654957</v>
      </c>
      <c r="K5" t="e">
        <f>599*A3/100/K4</f>
        <v>#DIV/0!</v>
      </c>
      <c r="L5" t="e">
        <f>599*A3/100/L4</f>
        <v>#DIV/0!</v>
      </c>
      <c r="M5" t="e">
        <f>599*A3/100/M4</f>
        <v>#DIV/0!</v>
      </c>
      <c r="N5" t="e">
        <f>599*A3/100/N4</f>
        <v>#DIV/0!</v>
      </c>
      <c r="O5" t="e">
        <f>599*A3/100/O4</f>
        <v>#DIV/0!</v>
      </c>
      <c r="P5" t="e">
        <f>599*A3/100/P4</f>
        <v>#DIV/0!</v>
      </c>
      <c r="Q5" t="e">
        <f>599*A3/100/Q4</f>
        <v>#DIV/0!</v>
      </c>
      <c r="R5" t="e">
        <f>599*A3/100/R4</f>
        <v>#DIV/0!</v>
      </c>
      <c r="S5" t="e">
        <f>599*A3/100/S4</f>
        <v>#DIV/0!</v>
      </c>
      <c r="T5" t="e">
        <f>599*A3/100/T4</f>
        <v>#DIV/0!</v>
      </c>
      <c r="U5" t="e">
        <f>599*A3/100/U4</f>
        <v>#DIV/0!</v>
      </c>
      <c r="V5" t="e">
        <f>599*A3/100/V4</f>
        <v>#DIV/0!</v>
      </c>
      <c r="W5" t="e">
        <f>599*A3/100/W4</f>
        <v>#DIV/0!</v>
      </c>
      <c r="X5">
        <f>599*A3/100/X4</f>
        <v>2.2015992181997394E-2</v>
      </c>
      <c r="Y5" t="e">
        <f>599*A3/100/Y4</f>
        <v>#DIV/0!</v>
      </c>
    </row>
    <row r="6" spans="1:25" x14ac:dyDescent="0.25">
      <c r="A6" t="s">
        <v>60</v>
      </c>
      <c r="B6" s="43">
        <f>B5+C5+F5+G5</f>
        <v>115.06775596475546</v>
      </c>
      <c r="C6">
        <v>87</v>
      </c>
      <c r="D6">
        <v>14.6911519198664</v>
      </c>
      <c r="G6" s="44"/>
      <c r="H6" s="44"/>
      <c r="I6" s="44" t="e">
        <f>I5+N5</f>
        <v>#DIV/0!</v>
      </c>
      <c r="J6" s="44"/>
      <c r="K6" s="44"/>
      <c r="L6" s="44"/>
      <c r="M6" s="44"/>
      <c r="N6">
        <v>86.665999999999997</v>
      </c>
      <c r="O6" s="49">
        <f>N6*100/599</f>
        <v>14.468447412353925</v>
      </c>
      <c r="Q6" t="s">
        <v>14</v>
      </c>
      <c r="W6">
        <v>1</v>
      </c>
      <c r="X6">
        <v>87</v>
      </c>
      <c r="Y6" s="49">
        <f>X6*100/599</f>
        <v>14.524207011686144</v>
      </c>
    </row>
    <row r="7" spans="1:25" ht="23.25" x14ac:dyDescent="0.35">
      <c r="A7" s="46" t="s">
        <v>61</v>
      </c>
      <c r="B7" s="47">
        <f>J5+I5</f>
        <v>1.5482463273126941</v>
      </c>
      <c r="C7">
        <v>89</v>
      </c>
      <c r="D7">
        <v>14.858096828046744</v>
      </c>
      <c r="F7" s="132" t="s">
        <v>184</v>
      </c>
      <c r="G7" s="89" t="s">
        <v>179</v>
      </c>
      <c r="H7" s="89" t="s">
        <v>172</v>
      </c>
      <c r="I7" s="127" t="s">
        <v>13</v>
      </c>
      <c r="J7" s="127" t="s">
        <v>16</v>
      </c>
      <c r="K7" s="129" t="s">
        <v>199</v>
      </c>
      <c r="L7" s="130"/>
      <c r="M7" s="131" t="s">
        <v>15</v>
      </c>
      <c r="N7">
        <v>26</v>
      </c>
      <c r="O7" s="49">
        <f t="shared" ref="O7" si="1">N7*100/599</f>
        <v>4.3405676126878134</v>
      </c>
      <c r="P7" t="s">
        <v>185</v>
      </c>
      <c r="Q7">
        <f>100-F8-I8-J8-M8-K8-R8-S8-T8-U8-W8</f>
        <v>79.493489148580949</v>
      </c>
      <c r="R7" s="126" t="s">
        <v>8</v>
      </c>
      <c r="S7" s="127" t="s">
        <v>55</v>
      </c>
      <c r="T7" s="128" t="s">
        <v>44</v>
      </c>
      <c r="U7" s="127" t="s">
        <v>12</v>
      </c>
      <c r="V7" s="133" t="s">
        <v>43</v>
      </c>
      <c r="W7" s="151" t="s">
        <v>80</v>
      </c>
      <c r="X7">
        <v>89</v>
      </c>
      <c r="Y7" s="49">
        <f t="shared" ref="Y7" si="2">X7*100/599</f>
        <v>14.858096828046744</v>
      </c>
    </row>
    <row r="8" spans="1:25" x14ac:dyDescent="0.25">
      <c r="A8" t="s">
        <v>62</v>
      </c>
      <c r="B8">
        <f>B6+B7</f>
        <v>116.61600229206816</v>
      </c>
      <c r="C8">
        <v>91</v>
      </c>
      <c r="D8">
        <v>15.025041736227045</v>
      </c>
      <c r="E8" t="s">
        <v>185</v>
      </c>
      <c r="F8">
        <v>14.524207011686144</v>
      </c>
      <c r="H8" t="s">
        <v>203</v>
      </c>
      <c r="I8" s="96">
        <v>6.3439065108514187E-2</v>
      </c>
      <c r="J8">
        <v>0.20100166944908179</v>
      </c>
      <c r="K8">
        <v>0.333889816360601</v>
      </c>
      <c r="L8">
        <v>26</v>
      </c>
      <c r="M8">
        <v>4.3405676126878134</v>
      </c>
      <c r="N8">
        <v>5</v>
      </c>
      <c r="O8" s="49">
        <f>N8*100/599</f>
        <v>0.8347245409015025</v>
      </c>
      <c r="P8" t="s">
        <v>186</v>
      </c>
      <c r="Q8">
        <f>100-F9-I8-J8-M8-K8-R8-S8-T8-U8-W8</f>
        <v>79.159599332220353</v>
      </c>
      <c r="R8">
        <v>0.8347245409015025</v>
      </c>
      <c r="S8">
        <v>8.347245409015025E-2</v>
      </c>
      <c r="T8">
        <v>4.1736227045075125E-2</v>
      </c>
      <c r="U8">
        <v>4.1736227045075125E-2</v>
      </c>
      <c r="W8">
        <v>4.1736227045075125E-2</v>
      </c>
      <c r="X8">
        <v>91</v>
      </c>
      <c r="Y8" s="49">
        <f>X8*100/599</f>
        <v>15.191986644407345</v>
      </c>
    </row>
    <row r="9" spans="1:25" x14ac:dyDescent="0.25">
      <c r="A9">
        <v>1</v>
      </c>
      <c r="B9" s="49">
        <f>A9*100/599</f>
        <v>0.1669449081803005</v>
      </c>
      <c r="C9">
        <v>93</v>
      </c>
      <c r="D9" s="125">
        <v>15.191986644407345</v>
      </c>
      <c r="E9" t="s">
        <v>186</v>
      </c>
      <c r="F9">
        <v>14.858096828046744</v>
      </c>
      <c r="G9">
        <v>1</v>
      </c>
      <c r="H9" t="s">
        <v>173</v>
      </c>
      <c r="I9" s="96">
        <v>8.347245409015025E-2</v>
      </c>
      <c r="J9">
        <v>8.347245409015025E-2</v>
      </c>
      <c r="L9">
        <v>24</v>
      </c>
      <c r="N9">
        <v>2</v>
      </c>
      <c r="O9" s="49">
        <f t="shared" ref="O9:O20" si="3">N9*100/599</f>
        <v>0.333889816360601</v>
      </c>
      <c r="P9" t="s">
        <v>187</v>
      </c>
      <c r="Q9">
        <f>100-F10-I8-J8-M8-K8-R8-S8-T8-U8-W8</f>
        <v>78.825709515859756</v>
      </c>
      <c r="W9">
        <v>4</v>
      </c>
      <c r="X9">
        <v>93</v>
      </c>
      <c r="Y9" s="49">
        <f t="shared" ref="Y9:Y21" si="4">X9*100/599</f>
        <v>15.525876460767947</v>
      </c>
    </row>
    <row r="10" spans="1:25" x14ac:dyDescent="0.25">
      <c r="A10">
        <v>0.66659999999999997</v>
      </c>
      <c r="B10" s="49">
        <f>A10*100/599</f>
        <v>0.11128547579298831</v>
      </c>
      <c r="C10">
        <v>95</v>
      </c>
      <c r="D10">
        <v>15.358931552587647</v>
      </c>
      <c r="E10" t="s">
        <v>187</v>
      </c>
      <c r="F10">
        <v>15.191986644407345</v>
      </c>
      <c r="G10">
        <v>1.5</v>
      </c>
      <c r="H10" t="s">
        <v>174</v>
      </c>
      <c r="I10" s="96">
        <v>8.347245409015025E-2</v>
      </c>
      <c r="J10">
        <v>0.1669449081803005</v>
      </c>
      <c r="L10">
        <v>26</v>
      </c>
      <c r="N10">
        <v>0.5</v>
      </c>
      <c r="O10" s="49">
        <f t="shared" si="3"/>
        <v>8.347245409015025E-2</v>
      </c>
      <c r="P10" t="s">
        <v>188</v>
      </c>
      <c r="Q10">
        <f>100-F11-I8-J8-M8-K8-R8-S8-T8-U8-W8</f>
        <v>78.49181969949916</v>
      </c>
      <c r="W10">
        <v>5</v>
      </c>
      <c r="X10">
        <v>95</v>
      </c>
      <c r="Y10" s="49">
        <f t="shared" si="4"/>
        <v>15.859766277128548</v>
      </c>
    </row>
    <row r="11" spans="1:25" x14ac:dyDescent="0.25">
      <c r="A11">
        <v>2</v>
      </c>
      <c r="B11" s="49">
        <f t="shared" ref="B11:B17" si="5">A11*100/599</f>
        <v>0.333889816360601</v>
      </c>
      <c r="C11">
        <v>97</v>
      </c>
      <c r="D11" s="125">
        <v>15.525876460767947</v>
      </c>
      <c r="E11" t="s">
        <v>188</v>
      </c>
      <c r="F11" s="125">
        <v>15.525876460767947</v>
      </c>
      <c r="G11" s="53">
        <v>2</v>
      </c>
      <c r="H11" t="s">
        <v>175</v>
      </c>
      <c r="I11" s="96">
        <v>8.347245409015025E-2</v>
      </c>
      <c r="J11">
        <v>0.25041736227045075</v>
      </c>
      <c r="L11">
        <v>28</v>
      </c>
      <c r="N11">
        <v>1.204</v>
      </c>
      <c r="O11" s="49">
        <f t="shared" si="3"/>
        <v>0.20100166944908179</v>
      </c>
      <c r="P11" t="s">
        <v>189</v>
      </c>
      <c r="Q11">
        <f>100-F12-I8-J8-M8-K8-R8-S8-T8-U8-W8</f>
        <v>78.157929883138564</v>
      </c>
      <c r="W11">
        <v>6</v>
      </c>
      <c r="X11">
        <v>97</v>
      </c>
      <c r="Y11" s="49">
        <f t="shared" si="4"/>
        <v>16.19365609348915</v>
      </c>
    </row>
    <row r="12" spans="1:25" x14ac:dyDescent="0.25">
      <c r="A12">
        <v>6</v>
      </c>
      <c r="B12" s="49">
        <f t="shared" si="5"/>
        <v>1.001669449081803</v>
      </c>
      <c r="C12">
        <v>99</v>
      </c>
      <c r="D12">
        <v>15.692821368948247</v>
      </c>
      <c r="E12" t="s">
        <v>189</v>
      </c>
      <c r="F12">
        <v>15.859766277128548</v>
      </c>
      <c r="G12">
        <v>2.5</v>
      </c>
      <c r="H12" t="s">
        <v>176</v>
      </c>
      <c r="I12" s="96">
        <v>8.347245409015025E-2</v>
      </c>
      <c r="J12">
        <v>0.333889816360601</v>
      </c>
      <c r="L12">
        <v>30</v>
      </c>
      <c r="N12">
        <v>0.38</v>
      </c>
      <c r="O12" s="49">
        <f t="shared" si="3"/>
        <v>6.3439065108514187E-2</v>
      </c>
      <c r="P12" t="s">
        <v>190</v>
      </c>
      <c r="Q12">
        <f>100-F13-I8-J8-M8-K8-R8-S8-T8-U8-W8</f>
        <v>77.82404006677794</v>
      </c>
      <c r="W12">
        <v>7</v>
      </c>
      <c r="X12">
        <v>99</v>
      </c>
      <c r="Y12" s="49">
        <f t="shared" si="4"/>
        <v>16.527545909849749</v>
      </c>
    </row>
    <row r="13" spans="1:25" x14ac:dyDescent="0.25">
      <c r="A13">
        <v>30</v>
      </c>
      <c r="B13" s="49">
        <f t="shared" si="5"/>
        <v>5.0083472454090154</v>
      </c>
      <c r="C13">
        <v>101</v>
      </c>
      <c r="D13" s="125">
        <v>15.859766277128548</v>
      </c>
      <c r="E13" t="s">
        <v>190</v>
      </c>
      <c r="F13" s="125">
        <v>16.19365609348915</v>
      </c>
      <c r="G13">
        <v>3</v>
      </c>
      <c r="H13" t="s">
        <v>182</v>
      </c>
      <c r="I13" s="96">
        <v>8.347245409015025E-2</v>
      </c>
      <c r="J13">
        <v>0.41736227045075125</v>
      </c>
      <c r="L13">
        <v>32</v>
      </c>
      <c r="N13">
        <v>0.25</v>
      </c>
      <c r="O13" s="49">
        <f t="shared" si="3"/>
        <v>4.1736227045075125E-2</v>
      </c>
      <c r="P13" t="s">
        <v>191</v>
      </c>
      <c r="Q13">
        <f>100-F14-I8-J8-M8-K8-R8-S8-T8-U8-W8</f>
        <v>77.490150250417344</v>
      </c>
      <c r="W13">
        <v>8</v>
      </c>
      <c r="X13">
        <v>101</v>
      </c>
      <c r="Y13" s="49">
        <f t="shared" si="4"/>
        <v>16.861435726210349</v>
      </c>
    </row>
    <row r="14" spans="1:25" x14ac:dyDescent="0.25">
      <c r="A14">
        <v>24</v>
      </c>
      <c r="B14" s="49">
        <f t="shared" si="5"/>
        <v>4.006677796327212</v>
      </c>
      <c r="C14">
        <v>103</v>
      </c>
      <c r="D14">
        <v>16.026711185308848</v>
      </c>
      <c r="E14" t="s">
        <v>191</v>
      </c>
      <c r="F14">
        <v>16.527545909849749</v>
      </c>
      <c r="G14">
        <v>1</v>
      </c>
      <c r="H14" t="s">
        <v>180</v>
      </c>
      <c r="I14">
        <v>0.10350584307178631</v>
      </c>
      <c r="J14">
        <v>0.23038397328881469</v>
      </c>
      <c r="L14">
        <v>34</v>
      </c>
      <c r="M14">
        <f>O6+O7+O8+O9+O10+O11+O12</f>
        <v>20.325542570951583</v>
      </c>
      <c r="N14">
        <v>0.25</v>
      </c>
      <c r="O14" s="49">
        <f t="shared" si="3"/>
        <v>4.1736227045075125E-2</v>
      </c>
      <c r="P14" t="s">
        <v>192</v>
      </c>
      <c r="Q14">
        <f>100-F15-I8-J8-M8-K8-R8-S8-T8-U8-W8</f>
        <v>77.156260434056747</v>
      </c>
      <c r="W14">
        <v>9</v>
      </c>
      <c r="X14">
        <v>103</v>
      </c>
      <c r="Y14" s="49">
        <f t="shared" si="4"/>
        <v>17.195325542570952</v>
      </c>
    </row>
    <row r="15" spans="1:25" x14ac:dyDescent="0.25">
      <c r="A15">
        <v>20</v>
      </c>
      <c r="B15" s="49">
        <f t="shared" si="5"/>
        <v>3.33889816360601</v>
      </c>
      <c r="C15">
        <v>105</v>
      </c>
      <c r="D15" s="125">
        <v>16.19365609348915</v>
      </c>
      <c r="E15" t="s">
        <v>192</v>
      </c>
      <c r="F15" s="125">
        <v>16.861435726210349</v>
      </c>
      <c r="G15">
        <v>2</v>
      </c>
      <c r="H15" t="s">
        <v>177</v>
      </c>
      <c r="I15">
        <v>0.10350584307178631</v>
      </c>
      <c r="J15">
        <v>0.23038397328881469</v>
      </c>
      <c r="L15">
        <v>36</v>
      </c>
      <c r="M15">
        <f>100-M14</f>
        <v>79.674457429048417</v>
      </c>
      <c r="N15">
        <v>0.25</v>
      </c>
      <c r="O15" s="49">
        <f t="shared" si="3"/>
        <v>4.1736227045075125E-2</v>
      </c>
      <c r="P15" t="s">
        <v>193</v>
      </c>
      <c r="Q15">
        <f>100-F16-I8-J8-M8-K8-R8-S8-T8-U8-W8</f>
        <v>76.822370617696151</v>
      </c>
      <c r="W15">
        <v>10</v>
      </c>
      <c r="X15">
        <v>105</v>
      </c>
      <c r="Y15" s="49">
        <f t="shared" si="4"/>
        <v>17.529215358931552</v>
      </c>
    </row>
    <row r="16" spans="1:25" x14ac:dyDescent="0.25">
      <c r="A16">
        <v>0.75</v>
      </c>
      <c r="B16" s="49">
        <f t="shared" si="5"/>
        <v>0.12520868113522537</v>
      </c>
      <c r="C16">
        <v>107</v>
      </c>
      <c r="D16">
        <v>16.360601001669448</v>
      </c>
      <c r="E16" t="s">
        <v>193</v>
      </c>
      <c r="F16">
        <v>17.195325542570952</v>
      </c>
      <c r="G16">
        <v>3</v>
      </c>
      <c r="H16" t="s">
        <v>181</v>
      </c>
      <c r="I16">
        <v>0.10350584307178631</v>
      </c>
      <c r="J16">
        <v>0.23038397328881469</v>
      </c>
      <c r="L16">
        <v>38</v>
      </c>
      <c r="O16" s="49">
        <f t="shared" si="3"/>
        <v>0</v>
      </c>
      <c r="P16" t="s">
        <v>194</v>
      </c>
      <c r="Q16">
        <f>100-F17-I8-J8-M8-K8-R8-S8-T8-U8-W8</f>
        <v>76.488480801335555</v>
      </c>
      <c r="W16">
        <v>11</v>
      </c>
      <c r="X16">
        <v>107</v>
      </c>
      <c r="Y16" s="49">
        <f t="shared" si="4"/>
        <v>17.863105175292155</v>
      </c>
    </row>
    <row r="17" spans="1:50" x14ac:dyDescent="0.25">
      <c r="A17">
        <v>0.87</v>
      </c>
      <c r="B17" s="49">
        <f t="shared" si="5"/>
        <v>0.14524207011686144</v>
      </c>
      <c r="C17">
        <v>109</v>
      </c>
      <c r="D17" s="125">
        <v>16.527545909849749</v>
      </c>
      <c r="E17" t="s">
        <v>194</v>
      </c>
      <c r="F17" s="125">
        <v>17.529215358931552</v>
      </c>
      <c r="G17">
        <v>2</v>
      </c>
      <c r="H17" t="s">
        <v>178</v>
      </c>
      <c r="I17">
        <v>0.12520868113522537</v>
      </c>
      <c r="J17">
        <v>0.20868113522537562</v>
      </c>
      <c r="L17">
        <v>40</v>
      </c>
      <c r="O17" s="49">
        <f t="shared" si="3"/>
        <v>0</v>
      </c>
      <c r="P17" t="s">
        <v>195</v>
      </c>
      <c r="Q17">
        <f>100-F18-I8-J8-M8-K8-R8-S8-T8-U8-W8</f>
        <v>76.154590984974931</v>
      </c>
      <c r="W17">
        <v>12</v>
      </c>
      <c r="X17">
        <v>109</v>
      </c>
      <c r="Y17" s="49">
        <f t="shared" si="4"/>
        <v>18.196994991652755</v>
      </c>
    </row>
    <row r="18" spans="1:50" x14ac:dyDescent="0.25">
      <c r="B18" s="140">
        <f>B16+B17</f>
        <v>0.27045075125208684</v>
      </c>
      <c r="C18">
        <v>111</v>
      </c>
      <c r="D18">
        <v>16.694490818030051</v>
      </c>
      <c r="E18" t="s">
        <v>195</v>
      </c>
      <c r="F18">
        <v>17.863105175292155</v>
      </c>
      <c r="G18">
        <v>3</v>
      </c>
      <c r="H18" t="s">
        <v>183</v>
      </c>
      <c r="I18">
        <v>0.12520868113522537</v>
      </c>
      <c r="J18">
        <v>0.37562604340567612</v>
      </c>
      <c r="L18">
        <v>42</v>
      </c>
      <c r="O18" s="49">
        <f t="shared" si="3"/>
        <v>0</v>
      </c>
      <c r="P18" t="s">
        <v>196</v>
      </c>
      <c r="Q18">
        <f>100-F19-I8-J8-M8-K8-R8-S8-T8-U8-W8</f>
        <v>75.820701168614335</v>
      </c>
      <c r="W18">
        <v>13</v>
      </c>
      <c r="X18">
        <v>111</v>
      </c>
      <c r="Y18" s="49">
        <f t="shared" si="4"/>
        <v>18.530884808013354</v>
      </c>
    </row>
    <row r="19" spans="1:50" x14ac:dyDescent="0.25">
      <c r="C19">
        <v>113</v>
      </c>
      <c r="D19" s="125">
        <v>16.861435726210349</v>
      </c>
      <c r="E19" t="s">
        <v>196</v>
      </c>
      <c r="F19" s="125">
        <v>18.196994991652755</v>
      </c>
      <c r="L19">
        <v>44</v>
      </c>
      <c r="O19" s="49">
        <f t="shared" si="3"/>
        <v>0</v>
      </c>
      <c r="P19" t="s">
        <v>197</v>
      </c>
      <c r="Q19">
        <f>100-F20-I8-J8-M8-K8-R8-S8-T8-U8-W8</f>
        <v>75.486811352253739</v>
      </c>
      <c r="W19">
        <v>14</v>
      </c>
      <c r="X19">
        <v>113</v>
      </c>
      <c r="Y19" s="49">
        <f t="shared" si="4"/>
        <v>18.864774624373958</v>
      </c>
    </row>
    <row r="20" spans="1:50" x14ac:dyDescent="0.25">
      <c r="C20">
        <v>115</v>
      </c>
      <c r="D20">
        <v>17.028380634390651</v>
      </c>
      <c r="E20" t="s">
        <v>197</v>
      </c>
      <c r="F20">
        <v>18.530884808013354</v>
      </c>
      <c r="L20">
        <v>46</v>
      </c>
      <c r="O20" s="49">
        <f t="shared" si="3"/>
        <v>0</v>
      </c>
      <c r="P20" t="s">
        <v>198</v>
      </c>
      <c r="W20">
        <v>15</v>
      </c>
      <c r="X20">
        <v>115</v>
      </c>
      <c r="Y20" s="49">
        <f t="shared" si="4"/>
        <v>19.198664440734557</v>
      </c>
    </row>
    <row r="21" spans="1:50" x14ac:dyDescent="0.25">
      <c r="C21">
        <v>117</v>
      </c>
      <c r="D21" s="125">
        <v>17.195325542570952</v>
      </c>
      <c r="E21" t="s">
        <v>198</v>
      </c>
      <c r="F21" s="125">
        <v>18.864774624373958</v>
      </c>
      <c r="M21">
        <f>122.5-N21</f>
        <v>0</v>
      </c>
      <c r="N21">
        <f>N6+N7+N8+N9+N10+N11+N12+N13+N14+N15</f>
        <v>122.49999999999999</v>
      </c>
      <c r="O21" s="49">
        <f t="shared" ref="O21" si="6">N21*100/599</f>
        <v>20.450751252086807</v>
      </c>
      <c r="W21">
        <v>16</v>
      </c>
      <c r="X21">
        <v>117</v>
      </c>
      <c r="Y21" s="49">
        <f t="shared" si="4"/>
        <v>19.532554257095157</v>
      </c>
    </row>
    <row r="22" spans="1:50" ht="18.75" x14ac:dyDescent="0.3">
      <c r="A22" s="66" t="s">
        <v>14</v>
      </c>
      <c r="B22" s="66" t="s">
        <v>56</v>
      </c>
      <c r="C22" s="66" t="s">
        <v>15</v>
      </c>
      <c r="D22" s="66" t="s">
        <v>8</v>
      </c>
      <c r="E22" s="66" t="s">
        <v>9</v>
      </c>
      <c r="F22" s="66" t="s">
        <v>57</v>
      </c>
      <c r="G22" s="66" t="s">
        <v>58</v>
      </c>
      <c r="H22" s="66" t="s">
        <v>77</v>
      </c>
      <c r="I22" s="66" t="s">
        <v>13</v>
      </c>
      <c r="J22" s="66" t="s">
        <v>16</v>
      </c>
      <c r="K22" s="66" t="s">
        <v>55</v>
      </c>
      <c r="L22" s="66" t="s">
        <v>44</v>
      </c>
      <c r="M22" s="66" t="s">
        <v>43</v>
      </c>
      <c r="N22" s="66" t="s">
        <v>12</v>
      </c>
      <c r="O22" s="66" t="s">
        <v>80</v>
      </c>
      <c r="P22" s="66" t="s">
        <v>81</v>
      </c>
      <c r="Q22" s="66" t="s">
        <v>82</v>
      </c>
      <c r="R22" s="66" t="s">
        <v>83</v>
      </c>
      <c r="S22" s="66" t="s">
        <v>45</v>
      </c>
      <c r="T22" s="66" t="s">
        <v>17</v>
      </c>
      <c r="U22" s="66" t="s">
        <v>84</v>
      </c>
      <c r="V22" s="66" t="s">
        <v>0</v>
      </c>
      <c r="W22" s="66" t="s">
        <v>11</v>
      </c>
      <c r="X22" s="66" t="s">
        <v>10</v>
      </c>
      <c r="Y22" s="66" t="s">
        <v>46</v>
      </c>
      <c r="Z22" s="67" t="s">
        <v>14</v>
      </c>
      <c r="AA22" s="58" t="s">
        <v>56</v>
      </c>
      <c r="AB22" s="59" t="s">
        <v>15</v>
      </c>
      <c r="AC22" s="60" t="s">
        <v>8</v>
      </c>
      <c r="AD22" s="59" t="s">
        <v>9</v>
      </c>
      <c r="AE22" s="59" t="s">
        <v>57</v>
      </c>
      <c r="AF22" s="60" t="s">
        <v>58</v>
      </c>
      <c r="AG22" s="59" t="s">
        <v>77</v>
      </c>
      <c r="AH22" s="61" t="s">
        <v>13</v>
      </c>
      <c r="AI22" s="62" t="s">
        <v>16</v>
      </c>
      <c r="AJ22" s="62" t="s">
        <v>55</v>
      </c>
      <c r="AK22" s="63" t="s">
        <v>44</v>
      </c>
      <c r="AL22" s="63" t="s">
        <v>10</v>
      </c>
      <c r="AM22" s="62" t="s">
        <v>12</v>
      </c>
      <c r="AN22" s="35" t="s">
        <v>80</v>
      </c>
      <c r="AO22" s="35" t="s">
        <v>81</v>
      </c>
      <c r="AP22" s="35" t="s">
        <v>82</v>
      </c>
      <c r="AQ22" s="35" t="s">
        <v>83</v>
      </c>
      <c r="AR22" s="35" t="s">
        <v>45</v>
      </c>
      <c r="AS22" s="35" t="s">
        <v>17</v>
      </c>
      <c r="AT22" s="35" t="s">
        <v>84</v>
      </c>
      <c r="AU22" s="35" t="s">
        <v>0</v>
      </c>
      <c r="AV22" s="35" t="s">
        <v>11</v>
      </c>
      <c r="AW22" s="35" t="s">
        <v>10</v>
      </c>
      <c r="AX22" s="35" t="s">
        <v>46</v>
      </c>
    </row>
    <row r="23" spans="1:50" ht="18.75" x14ac:dyDescent="0.3">
      <c r="A23" s="36">
        <f>100-B23-C23-D23-E23-F23-G23-H23-I23-J23-K23-L23-M23-N23-O23-P23-Q23-R23-S23-T23-U23-V23-W23-X23-Y23</f>
        <v>91.944399999999987</v>
      </c>
      <c r="B23" s="37">
        <v>3.6</v>
      </c>
      <c r="C23" s="37">
        <v>2.5</v>
      </c>
      <c r="D23" s="37">
        <v>1</v>
      </c>
      <c r="E23" s="37">
        <v>0.4</v>
      </c>
      <c r="F23" s="37">
        <v>0.02</v>
      </c>
      <c r="G23" s="37">
        <v>0.01</v>
      </c>
      <c r="H23" s="37">
        <v>3.0000000000000001E-3</v>
      </c>
      <c r="I23" s="37">
        <v>3.2599999999999997E-2</v>
      </c>
      <c r="J23" s="37">
        <v>0.17499999999999999</v>
      </c>
      <c r="K23" s="37">
        <v>0.15</v>
      </c>
      <c r="L23" s="37">
        <v>0.05</v>
      </c>
      <c r="M23" s="37">
        <v>0.01</v>
      </c>
      <c r="N23" s="37">
        <v>2.5000000000000001E-2</v>
      </c>
      <c r="O23" s="37">
        <v>0.05</v>
      </c>
      <c r="P23" s="37"/>
      <c r="Q23" s="37"/>
      <c r="R23" s="37"/>
      <c r="S23" s="37"/>
      <c r="T23" s="37">
        <v>0.02</v>
      </c>
      <c r="U23" s="37"/>
      <c r="V23" s="37"/>
      <c r="W23" s="37"/>
      <c r="X23" s="37">
        <v>0.01</v>
      </c>
      <c r="Y23" s="37"/>
      <c r="Z23" s="68">
        <v>55.84</v>
      </c>
      <c r="AA23" s="7">
        <v>12.01</v>
      </c>
      <c r="AB23" s="7">
        <v>28.0855</v>
      </c>
      <c r="AC23" s="7">
        <v>58.693399999999997</v>
      </c>
      <c r="AD23" s="7">
        <v>63.545999999999999</v>
      </c>
      <c r="AE23" s="7">
        <v>30.973762000000001</v>
      </c>
      <c r="AF23" s="7">
        <v>32.064999999999998</v>
      </c>
      <c r="AG23" s="7">
        <v>14.0067</v>
      </c>
      <c r="AH23" s="7">
        <v>24.305</v>
      </c>
      <c r="AI23" s="7">
        <v>54.938043999999998</v>
      </c>
      <c r="AJ23" s="7">
        <v>95.95</v>
      </c>
      <c r="AK23" s="7">
        <v>51.996099999999998</v>
      </c>
      <c r="AL23" s="7">
        <v>58.933194999999998</v>
      </c>
      <c r="AM23" s="7">
        <v>26.981539999999999</v>
      </c>
      <c r="AN23">
        <v>50.941499999999998</v>
      </c>
      <c r="AO23">
        <v>92.906369999999995</v>
      </c>
      <c r="AP23">
        <v>183.84</v>
      </c>
      <c r="AQ23">
        <v>180.94788</v>
      </c>
      <c r="AR23">
        <v>91.224000000000004</v>
      </c>
      <c r="AS23">
        <v>47.866999999999997</v>
      </c>
      <c r="AT23">
        <v>186.20699999999999</v>
      </c>
      <c r="AU23">
        <v>121.76</v>
      </c>
      <c r="AV23" s="7">
        <v>207.2</v>
      </c>
      <c r="AW23" s="7">
        <v>118.71</v>
      </c>
      <c r="AX23" s="7">
        <v>208.9804</v>
      </c>
    </row>
    <row r="24" spans="1:50" ht="18.75" x14ac:dyDescent="0.3">
      <c r="A24" s="36">
        <f>100*((((A23)/(Z23))/(((A23)/(Z23))+((B23)/(AA23))+((C23)/(AB23))+((D23)/(AC23))+((E23)/(AD23))+((F23)/(AE23))+((G23)/(AF23))+((H23)/(AG23))+((I23)/(AH23))+((J23)/(AI23))+((K23)/(AJ23))+((L23)/(AK23))+((M23)/(AL23))+((N23)/(AM23))+((O23)/(AN23))+((P23)/(AO23))+((Q23)/(AP23))+((R23)/(AQ23))+((S23)/(AR23))+((T23)/(AS23))+((U23)/(AT23))+((V23)/(AU23))+((W23)/(AV23))+((X23)/(AW23))+((Y23)/(AX23)))))</f>
        <v>79.56481714896276</v>
      </c>
      <c r="B24" s="36">
        <f>100*((((B23)/(AA23))/(((A23)/(Z23))+((B23)/(AA23))+((C23)/(AB23))+((D23)/(AC23))+((E23)/(AD23))+((F23)/(AE23))+((G23)/(AF23))+((H23)/(AG23))+((I23)/(AH23))+((J23)/(AI23))+((K23)/(AJ23))+((L23)/(AK23))+((M23)/(AL23))+((N23)/(AM23))+((O23)/(AN23))+((P23)/(AO23))+((Q23)/(AP23))+((R23)/(AQ23))+((S23)/(AR23))+((T23)/(AS23))+((U23)/(AT23))+((V23)/(AU23))+((W23)/(AV23))+((X23)/(AW23))+((Y23)/(AX23)))))</f>
        <v>14.48440597649634</v>
      </c>
      <c r="C24" s="36">
        <f>100*((((C23)/(AB23))/(((A23)/(Z23))+((B23)/(AA23))+((C23)/(AB23))+((D23)/(AC23))+((E23)/(AD23))+((F23)/(AE23))+((G23)/(AF23))+((H23)/(AG23))+((I23)/(AH23))+((J23)/(AI23))+((K23)/(AJ23))+((L23)/(AK23))+((M23)/(AL23))+((N23)/(AM23))+((O23)/(AN23))+((P23)/(AO23))+((Q23)/(AP23))+((R23)/(AQ23))+((S23)/(AR23))+((T23)/(AS23))+((U23)/(AT23))+((V23)/(AU23))+((W23)/(AV23))+((X23)/(AW23))+((Y23)/(AX23)))))</f>
        <v>4.3012931687199458</v>
      </c>
      <c r="D24" s="36">
        <f>100*((((D23)/(AC23))/(((A23)/(Z23))+((B23)/(AA23))+((C23)/(AB23))+((D23)/(AC23))+((E23)/(AD23))+((F23)/(AE23))+((G23)/(AF23))+((H23)/(AG23))+((I23)/(AH23))+((J23)/(AI23))+((K23)/(AJ23))+((L23)/(AK23))+((M23)/(AL23))+((N23)/(AM23))+((O23)/(AN23))+((P23)/(AO23))+((Q23)/(AP23))+((R23)/(AQ23))+((S23)/(AR23))+((T23)/(AS23))+((U23)/(AT23))+((V23)/(AU23))+((W23)/(AV23))+((X23)/(AW23))+((Y23)/(AX23)))))</f>
        <v>0.82328826948232026</v>
      </c>
      <c r="E24" s="36">
        <f>100*((((E23)/(AD23))/(((A23)/(Z23))+((B23)/(AA23))+((C23)/(AB23))+((D23)/(AC23))+((E23)/(AD23))+((F23)/(AE23))+((G23)/(AF23))+((H23)/(AG23))+((I23)/(AH23))+((J23)/(AI23))+((K23)/(AJ23))+((L23)/(AK23))+((M23)/(AL23))+((N23)/(AM23))+((O23)/(AN23))+((P23)/(AO23))+((Q23)/(AP23))+((R23)/(AQ23))+((S23)/(AR23))+((T23)/(AS23))+((U23)/(AT23))+((V23)/(AU23))+((W23)/(AV23))+((X23)/(AW23))+((Y23)/(AX23)))))</f>
        <v>0.30416761222442718</v>
      </c>
      <c r="F24" s="36">
        <f>100*((((F23)/(AE23))/(((A23)/(Z23))+((B23)/(AA23))+((C23)/(AB23))+((D23)/(AC23))+((E23)/(AD23))+((F23)/(AE23))+((G23)/(AF23))+((H23)/(AG23))+((I23)/(AH23))+((J23)/(AI23))+((K23)/(AJ23))+((L23)/(AK23))+((M23)/(AL23))+((N23)/(AM23))+((O23)/(AN23))+((P23)/(AO23))+((Q23)/(AP23))+((R23)/(AQ23))+((S23)/(AR23))+((T23)/(AS23))+((U23)/(AT23))+((V23)/(AU23))+((W23)/(AV23))+((X23)/(AW23))+((Y23)/(AX23)))))</f>
        <v>3.1201626535409952E-2</v>
      </c>
      <c r="G24" s="36">
        <f>100*((((G23)/(AF23))/(((A23)/(Z23))+((B23)/(AA23))+((C23)/(AB23))+((D23)/(AC23))+((E23)/(AD23))+((F23)/(AE23))+((G23)/(AF23))+((H23)/(AG23))+((I23)/(AH23))+((J23)/(AI23))+((K23)/(AJ23))+((L23)/(AK23))+((M23)/(AL23))+((N23)/(AM23))+((O23)/(AN23))+((P23)/(AO23))+((Q23)/(AP23))+((R23)/(AQ23))+((S23)/(AR23))+((T23)/(AS23))+((U23)/(AT23))+((V23)/(AU23))+((W23)/(AV23))+((X23)/(AW23))+((Y23)/(AX23)))))</f>
        <v>1.5069885456427139E-2</v>
      </c>
      <c r="H24" s="36">
        <f>100*((((H23)/(AG23))/(((A23)/(Z23))+((B23)/(AA23))+((C23)/(AB23))+((D23)/(AC23))+((E23)/(AD23))+((F23)/(AE23))+((G23)/(AF23))+((H23)/(AG23))+((I23)/(AH23))+((J23)/(AI23))+((K23)/(AJ23))+((L23)/(AK23))+((M23)/(AL23))+((N23)/(AM23))+((O23)/(AN23))+((P23)/(AO23))+((Q23)/(AP23))+((R23)/(AQ23))+((S23)/(AR23))+((T23)/(AS23))+((U23)/(AT23))+((V23)/(AU23))+((W23)/(AV23))+((X23)/(AW23))+((Y23)/(AX23)))))</f>
        <v>1.0349672881413955E-2</v>
      </c>
      <c r="I24" s="36">
        <f>100*((((I23)/(AH23))/(((A23)/(Z23))+((B23)/(AA23))+((C23)/(AB23))+((D23)/(AC23))+((E23)/(AD23))+((F23)/(AE23))+((G23)/(AF23))+((H23)/(AG23))+((I23)/(AH23))+((J23)/(AI23))+((K23)/(AJ23))+((L23)/(AK23))+((M23)/(AL23))+((N23)/(AM23))+((O23)/(AN23))+((P23)/(AO23))+((Q23)/(AP23))+((R23)/(AQ23))+((S23)/(AR23))+((T23)/(AS23))+((U23)/(AT23))+((V23)/(AU23))+((W23)/(AV23))+((X23)/(AW23))+((Y23)/(AX23)))))</f>
        <v>6.4813156121896559E-2</v>
      </c>
      <c r="J24" s="36">
        <f>100*((((J23)/(AI23))/(((A23)/(Z23))+((B23)/(AA23))+((C23)/(AB23))+((D23)/(AC23))+((E23)/(AD23))+((F23)/(AE23))+((G23)/(AF23))+((H23)/(AG23))+((I23)/(AH23))+((J23)/(AI23))+((K23)/(AJ23))+((L23)/(AK23))+((M23)/(AL23))+((N23)/(AM23))+((O23)/(AN23))+((P23)/(AO23))+((Q23)/(AP23))+((R23)/(AQ23))+((S23)/(AR23))+((T23)/(AS23))+((U23)/(AT23))+((V23)/(AU23))+((W23)/(AV23))+((X23)/(AW23))+((Y23)/(AX23)))))</f>
        <v>0.15392389744174151</v>
      </c>
      <c r="K24" s="36">
        <f>100*((((K23)/(AJ23))/(((A23)/(Z23))+((B23)/(AA23))+((C23)/(AB23))+((D23)/(AC23))+((E23)/(AD23))+((F23)/(AE23))+((G23)/(AF23))+((H23)/(AG23))+((I23)/(AH23))+((J23)/(AI23))+((K23)/(AJ23))+((L23)/(AK23))+((M23)/(AL23))+((N23)/(AM23))+((O23)/(AN23))+((P23)/(AO23))+((Q23)/(AP23))+((R23)/(AQ23))+((S23)/(AR23))+((T23)/(AS23))+((U23)/(AT23))+((V23)/(AU23))+((W23)/(AV23))+((X23)/(AW23))+((Y23)/(AX23)))))</f>
        <v>7.5541825507087462E-2</v>
      </c>
      <c r="L24" s="36">
        <f>100*((((L23)/(AK23))/(((A23)/(Z23))+((B23)/(AA23))+((C23)/(AB23))+((D23)/(AC23))+((E23)/(AD23))+((F23)/(AE23))+((G23)/(AF23))+((H23)/(AG23))+((I23)/(AH23))+((J23)/(AI23))+((K23)/(AJ23))+((L23)/(AK23))+((M23)/(AL23))+((N23)/(AM23))+((O23)/(AN23))+((P23)/(AO23))+((Q23)/(AP23))+((R23)/(AQ23))+((S23)/(AR23))+((T23)/(AS23))+((U23)/(AT23))+((V23)/(AU23))+((W23)/(AV23))+((X23)/(AW23))+((Y23)/(AX23)))))</f>
        <v>4.6466550102828498E-2</v>
      </c>
      <c r="M24" s="36">
        <f>100*((((M23)/(AL23))/(((A23)/(Z23))+((B23)/(AA23))+((C23)/(AB23))+((D23)/(AC23))+((E23)/(AD23))+((F23)/(AE23))+((G23)/(AF23))+((H23)/(AG23))+((I23)/(AH23))+((J23)/(AI23))+((K23)/(AJ23))+((L23)/(AK23))+((M23)/(AL23))+((N23)/(AM23))+((O23)/(AN23))+((P23)/(AO23))+((Q23)/(AP23))+((R23)/(AQ23))+((S23)/(AR23))+((T23)/(AS23))+((U23)/(AT23))+((V23)/(AU23))+((W23)/(AV23))+((X23)/(AW23))+((Y23)/(AX23)))))</f>
        <v>8.1993836777445404E-3</v>
      </c>
      <c r="N24" s="36">
        <f>100*((((N23)/(AM23))/(((A23)/(Z23))+((B23)/(AA23))+((C23)/(AB23))+((D23)/(AC23))+((E23)/(AD23))+((F23)/(AE23))+((G23)/(AF23))+((H23)/(AG23))+((I23)/(AH23))+((J23)/(AI23))+((K23)/(AJ23))+((L23)/(AK23))+((M23)/(AL23))+((N23)/(AM23))+((O23)/(AN23))+((P23)/(AO23))+((Q23)/(AP23))+((R23)/(AQ23))+((S23)/(AR23))+((T23)/(AS23))+((U23)/(AT23))+((V23)/(AU23))+((W23)/(AV23))+((X23)/(AW23))+((Y23)/(AX23)))))</f>
        <v>4.477282219253758E-2</v>
      </c>
      <c r="O24" s="36">
        <f>100*((((O23)/(AN23))/(((A23)/(Z23))+((B23)/(AA23))+((C23)/(AB23))+((D23)/(AC23))+((E23)/(AD23))+((F23)/(AE23))+((G23)/(AF23))+((H23)/(AG23))+((I23)/(AH23))+((J23)/(AI23))+((K23)/(AJ23))+((L23)/(AK23))+((M23)/(AL23))+((N23)/(AM23))+((O23)/(AN23))+((P23)/(AO23))+((Q23)/(AP23))+((R23)/(AQ23))+((S23)/(AR23))+((T23)/(AS23))+((U23)/(AT23))+((V23)/(AU23))+((W23)/(AV23))+((X23)/(AW23))+((Y23)/(AX23)))))</f>
        <v>4.7428508893567742E-2</v>
      </c>
      <c r="P24" s="36">
        <f>100*((((P23)/(AO23))/(((A23)/(Z23))+((B23)/(AA23))+((C23)/(AB23))+((D23)/(AC23))+((E23)/(AD23))+((F23)/(AE23))+((G23)/(AF23))+((H23)/(AG23))+((I23)/(AH23))+((J23)/(AI23))+((K23)/(AJ23))+((L23)/(AK23))+((M23)/(AL23))+((N23)/(AM23))+((O23)/(AN23))+((P23)/(AO23))+((Q23)/(AP23))+((R23)/(AQ23))+((S23)/(AR23))+((T23)/(AS23))+((U23)/(AT23))+((V23)/(AU23))+((W23)/(AV23))+((X23)/(AW23))+((Y23)/(AX23)))))</f>
        <v>0</v>
      </c>
      <c r="Q24" s="36">
        <f>100*((((Q23)/(AP23))/(((A23)/(Z23))+((B23)/(AA23))+((C23)/(AB23))+((D23)/(AC23))+((E23)/(AD23))+((F23)/(AE23))+((G23)/(AF23))+((H23)/(AG23))+((I23)/(AH23))+((J23)/(AI23))+((K23)/(AJ23))+((L23)/(AK23))+((M23)/(AL23))+((N23)/(AM23))+((O23)/(AN23))+((P23)/(AO23))+((Q23)/(AP23))+((R23)/(AQ23))+((S23)/(AR23))+((T23)/(AS23))+((U23)/(AT23))+((V23)/(AU23))+((W23)/(AV23))+((X23)/(AW23))+((Y23)/(AX23)))))</f>
        <v>0</v>
      </c>
      <c r="R24" s="36">
        <f>100*((((R23)/(AQ23))/(((A23)/(Z23))+((B23)/(AA23))+((C23)/(AB23))+((D23)/(AC23))+((E23)/(AD23))+((F23)/(AE23))+((G23)/(AF23))+((H23)/(AG23))+((I23)/(AH23))+((J23)/(AI23))+((K23)/(AJ23))+((L23)/(AK23))+((M23)/(AL23))+((N23)/(AM23))+((O23)/(AN23))+((P23)/(AO23))+((Q23)/(AP23))+((R23)/(AQ23))+((S23)/(AR23))+((T23)/(AS23))+((U23)/(AT23))+((V23)/(AU23))+((W23)/(AV23))+((X23)/(AW23))+((Y23)/(AX23)))))</f>
        <v>0</v>
      </c>
      <c r="S24" s="36">
        <f>100*((((S23)/(AR23))/(((A23)/(Z23))+((B23)/(AA23))+((C23)/(AB23))+((D23)/(AC23))+((E23)/(AD23))+((F23)/(AE23))+((G23)/(AF23))+((H23)/(AG23))+((I23)/(AH23))+((J23)/(AI23))+((K23)/(AJ23))+((L23)/(AK23))+((M23)/(AL23))+((N23)/(AM23))+((O23)/(AN23))+((P23)/(AO23))+((Q23)/(AP23))+((R23)/(AQ23))+((S23)/(AR23))+((T23)/(AS23))+((U23)/(AT23))+((V23)/(AU23))+((W23)/(AV23))+((X23)/(AW23))+((Y23)/(AX23)))))</f>
        <v>0</v>
      </c>
      <c r="T24" s="36">
        <f>100*((((T23)/(AS23))/(((A23)/(Z23))+((B23)/(AA23))+((C23)/(AB23))+((D23)/(AC23))+((E23)/(AD23))+((F23)/(AE23))+((G23)/(AF23))+((H23)/(AG23))+((I23)/(AH23))+((J23)/(AI23))+((K23)/(AJ23))+((L23)/(AK23))+((M23)/(AL23))+((N23)/(AM23))+((O23)/(AN23))+((P23)/(AO23))+((Q23)/(AP23))+((R23)/(AQ23))+((S23)/(AR23))+((T23)/(AS23))+((U23)/(AT23))+((V23)/(AU23))+((W23)/(AV23))+((X23)/(AW23))+((Y23)/(AX23)))))</f>
        <v>2.0189937834430242E-2</v>
      </c>
      <c r="U24" s="36">
        <f>100*((((U23)/(AT23))/(((A23)/(Z23))+((B23)/(AA23))+((C23)/(AB23))+((D23)/(AC23))+((E23)/(AD23))+((F23)/(AE23))+((G23)/(AF23))+((H23)/(AG23))+((I23)/(AH23))+((J23)/(AI23))+((K23)/(AJ23))+((L23)/(AK23))+((M23)/(AL23))+((N23)/(AM23))+((O23)/(AN23))+((P23)/(AO23))+((Q23)/(AP23))+((R23)/(AQ23))+((S23)/(AR23))+((T23)/(AS23))+((U23)/(AT23))+((V23)/(AU23))+((W23)/(AV23))+((X23)/(AW23))+((Y23)/(AX23)))))</f>
        <v>0</v>
      </c>
      <c r="V24" s="36">
        <f>100*((((V23)/(AU23))/(((A23)/(Z23))+((B23)/(AA23))+((C23)/(AB23))+((D23)/(AC23))+((E23)/(AD23))+((F23)/(AE23))+((G23)/(AF23))+((H23)/(AG23))+((I23)/(AH23))+((J23)/(AI23))+((K23)/(AJ23))+((L23)/(AK23))+((M23)/(AL23))+((N23)/(AM23))+((O23)/(AN23))+((P23)/(AO23))+((Q23)/(AP23))+((R23)/(AQ23))+((S23)/(AR23))+((T23)/(AS23))+((U23)/(AT23))+((V23)/(AU23))+((W23)/(AV23))+((X23)/(AW23))+((Y23)/(AX23)))))</f>
        <v>0</v>
      </c>
      <c r="W24" s="7">
        <f>100*((((W23)/(AV23))/(((A23)/(Z23))+((B23)/(AA23))+((C23)/(AB23))+((D23)/(AC23))+((E23)/(AD23))+((F23)/(AE23))+((G23)/(AF23))+((H23)/(AG23))+((I23)/(AH23))+((J23)/(AI23))+((K23)/(AJ23))+((L23)/(AK23))+((M23)/(AL23))+((N23)/(AM23))+((O23)/(AN23))+((P23)/(AO23))+((Q23)/(AP23))+((R23)/(AQ23))+((S23)/(AR23))+((T23)/(AS23))+((U23)/(AT23))+((V23)/(AU23))+((W23)/(AV23))+((X23)/(AW23))+((Y23)/(AX23)))))</f>
        <v>0</v>
      </c>
      <c r="X24" s="7">
        <f>100*((((X23)/(AW23))/(((A23)/(Z23))+((B23)/(AA23))+((C23)/(AB23))+((D23)/(AC23))+((E23)/(AD23))+((F23)/(AE23))+((G23)/(AF23))+((H23)/(AG23))+((I23)/(AH23))+((J23)/(AI23))+((K23)/(AJ23))+((L23)/(AK23))+((M23)/(AL23))+((N23)/(AM23))+((O23)/(AN23))+((P23)/(AO23))+((Q23)/(AP23))+((R23)/(AQ23))+((S23)/(AR23))+((T23)/(AS23))+((U23)/(AT23))+((V23)/(AU23))+((W23)/(AV23))+((X23)/(AW23))+((Y23)/(AX23)))))</f>
        <v>4.0705574691292743E-3</v>
      </c>
      <c r="Y24" s="7">
        <f>100*((((Y23)/(AX23))/(((A23)/(Z23))+((B23)/(AA23))+((C23)/(AB23))+((D23)/(AC23))+((E23)/(AD23))+((F23)/(AE23))+((G23)/(AF23))+((H23)/(AG23))+((I23)/(AH23))+((J23)/(AI23))+((K23)/(AJ23))+((L23)/(AK23))+((M23)/(AL23))+((N23)/(AM23))+((O23)/(AN23))+((P23)/(AO23))+((Q23)/(AP23))+((R23)/(AQ23))+((S23)/(AR23))+((T23)/(AS23))+((U23)/(AT23))+((V23)/(AU23))+((W23)/(AV23))+((X23)/(AW23))+((Y23)/(AX23)))))</f>
        <v>0</v>
      </c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1:50" ht="21" x14ac:dyDescent="0.35">
      <c r="A25" s="3">
        <f>SUM(B25:Y25)</f>
        <v>122.13720000000001</v>
      </c>
      <c r="B25" s="141">
        <v>86</v>
      </c>
      <c r="C25" s="141">
        <v>26</v>
      </c>
      <c r="D25" s="142">
        <v>5</v>
      </c>
      <c r="E25" s="142">
        <v>2</v>
      </c>
      <c r="F25" s="142">
        <v>0.18</v>
      </c>
      <c r="G25" s="143">
        <v>0.09</v>
      </c>
      <c r="H25" s="142">
        <v>6.2E-2</v>
      </c>
      <c r="I25" s="144">
        <v>0.38</v>
      </c>
      <c r="J25" s="145">
        <v>1</v>
      </c>
      <c r="K25" s="146">
        <v>0.5</v>
      </c>
      <c r="L25" s="145">
        <v>0.25</v>
      </c>
      <c r="M25" s="147"/>
      <c r="N25" s="144">
        <v>0.25</v>
      </c>
      <c r="O25" s="145">
        <v>0.28000000000000003</v>
      </c>
      <c r="P25" s="147"/>
      <c r="Q25" s="147"/>
      <c r="R25" s="147"/>
      <c r="S25" s="147"/>
      <c r="T25" s="147">
        <v>0.12089999999999999</v>
      </c>
      <c r="U25" s="147"/>
      <c r="V25" s="147"/>
      <c r="W25" s="147"/>
      <c r="X25" s="147">
        <v>2.4299999999999999E-2</v>
      </c>
    </row>
    <row r="26" spans="1:50" ht="26.25" x14ac:dyDescent="0.4">
      <c r="A26" s="97" t="s">
        <v>14</v>
      </c>
      <c r="B26" s="97" t="s">
        <v>56</v>
      </c>
      <c r="C26" s="97" t="s">
        <v>15</v>
      </c>
      <c r="D26" s="97" t="s">
        <v>8</v>
      </c>
      <c r="E26" s="97" t="s">
        <v>9</v>
      </c>
      <c r="F26" s="97" t="s">
        <v>57</v>
      </c>
      <c r="G26" s="97" t="s">
        <v>58</v>
      </c>
      <c r="H26" s="97" t="s">
        <v>77</v>
      </c>
      <c r="I26" s="97" t="s">
        <v>13</v>
      </c>
      <c r="J26" s="97" t="s">
        <v>16</v>
      </c>
      <c r="K26" s="97" t="s">
        <v>55</v>
      </c>
      <c r="L26" s="97" t="s">
        <v>44</v>
      </c>
      <c r="M26" s="97" t="s">
        <v>43</v>
      </c>
      <c r="N26" s="97" t="s">
        <v>12</v>
      </c>
      <c r="O26" s="33" t="s">
        <v>80</v>
      </c>
      <c r="P26" s="33" t="s">
        <v>81</v>
      </c>
      <c r="Q26" s="33" t="s">
        <v>82</v>
      </c>
      <c r="R26" s="33" t="s">
        <v>83</v>
      </c>
      <c r="S26" s="33" t="s">
        <v>45</v>
      </c>
      <c r="T26" s="33" t="s">
        <v>17</v>
      </c>
      <c r="U26" s="33" t="s">
        <v>84</v>
      </c>
      <c r="V26" s="33" t="s">
        <v>0</v>
      </c>
      <c r="W26" s="33" t="s">
        <v>11</v>
      </c>
      <c r="X26" s="33" t="s">
        <v>10</v>
      </c>
      <c r="Y26" s="33" t="s">
        <v>46</v>
      </c>
    </row>
    <row r="27" spans="1:50" ht="15.75" x14ac:dyDescent="0.25">
      <c r="A27" s="3">
        <f>100-SUM(B27:Y27)</f>
        <v>79.56481714896276</v>
      </c>
      <c r="B27" s="6">
        <f>B24</f>
        <v>14.48440597649634</v>
      </c>
      <c r="C27" s="6">
        <f t="shared" ref="C27:Y27" si="7">C24</f>
        <v>4.3012931687199458</v>
      </c>
      <c r="D27" s="6">
        <f t="shared" si="7"/>
        <v>0.82328826948232026</v>
      </c>
      <c r="E27" s="6">
        <f t="shared" si="7"/>
        <v>0.30416761222442718</v>
      </c>
      <c r="F27" s="6">
        <f t="shared" si="7"/>
        <v>3.1201626535409952E-2</v>
      </c>
      <c r="G27" s="6">
        <f t="shared" si="7"/>
        <v>1.5069885456427139E-2</v>
      </c>
      <c r="H27" s="6">
        <f t="shared" si="7"/>
        <v>1.0349672881413955E-2</v>
      </c>
      <c r="I27" s="6">
        <f t="shared" si="7"/>
        <v>6.4813156121896559E-2</v>
      </c>
      <c r="J27" s="6">
        <f t="shared" si="7"/>
        <v>0.15392389744174151</v>
      </c>
      <c r="K27" s="6">
        <f t="shared" si="7"/>
        <v>7.5541825507087462E-2</v>
      </c>
      <c r="L27" s="6">
        <f t="shared" si="7"/>
        <v>4.6466550102828498E-2</v>
      </c>
      <c r="M27" s="6">
        <f t="shared" si="7"/>
        <v>8.1993836777445404E-3</v>
      </c>
      <c r="N27" s="6">
        <f t="shared" si="7"/>
        <v>4.477282219253758E-2</v>
      </c>
      <c r="O27" s="6">
        <f t="shared" si="7"/>
        <v>4.7428508893567742E-2</v>
      </c>
      <c r="P27" s="6">
        <f t="shared" si="7"/>
        <v>0</v>
      </c>
      <c r="Q27" s="6">
        <f t="shared" si="7"/>
        <v>0</v>
      </c>
      <c r="R27" s="6">
        <f t="shared" si="7"/>
        <v>0</v>
      </c>
      <c r="S27" s="6">
        <f t="shared" si="7"/>
        <v>0</v>
      </c>
      <c r="T27" s="6">
        <f t="shared" si="7"/>
        <v>2.0189937834430242E-2</v>
      </c>
      <c r="U27" s="6">
        <f t="shared" si="7"/>
        <v>0</v>
      </c>
      <c r="V27" s="6">
        <f t="shared" si="7"/>
        <v>0</v>
      </c>
      <c r="W27" s="6">
        <f t="shared" si="7"/>
        <v>0</v>
      </c>
      <c r="X27" s="6">
        <f t="shared" si="7"/>
        <v>4.0705574691292743E-3</v>
      </c>
      <c r="Y27" s="6">
        <f t="shared" si="7"/>
        <v>0</v>
      </c>
    </row>
    <row r="28" spans="1:50" ht="15.75" x14ac:dyDescent="0.25">
      <c r="A28" s="3"/>
      <c r="B28" s="27">
        <f>A27/B27</f>
        <v>5.4931363618274416</v>
      </c>
      <c r="C28" s="27">
        <f>A27/C27</f>
        <v>18.497882852435527</v>
      </c>
      <c r="D28" s="27">
        <f>A27/D27</f>
        <v>96.642719322349549</v>
      </c>
      <c r="E28" s="27">
        <f>A27/E27</f>
        <v>261.58214731375352</v>
      </c>
      <c r="F28" s="28">
        <f>A27/F27</f>
        <v>2550.02145669126</v>
      </c>
      <c r="G28" s="28">
        <f>A27/G27</f>
        <v>5279.7227542979927</v>
      </c>
      <c r="H28" s="28">
        <f>A27/H27</f>
        <v>7687.6649204871055</v>
      </c>
      <c r="I28" s="38">
        <f>A27/I27</f>
        <v>1227.6028804911489</v>
      </c>
      <c r="J28" s="38">
        <f>A27/J27</f>
        <v>516.91009954498566</v>
      </c>
      <c r="K28" s="38">
        <f>A27/K27</f>
        <v>1053.2551552053485</v>
      </c>
      <c r="L28" s="38">
        <f>A27/L27</f>
        <v>1712.3030862607447</v>
      </c>
      <c r="M28" s="38">
        <f>A27/M27</f>
        <v>9703.7558280050125</v>
      </c>
      <c r="N28" s="38">
        <f>A27/N27</f>
        <v>1777.0784429627504</v>
      </c>
      <c r="O28">
        <f>A27/O27</f>
        <v>1677.5736578080225</v>
      </c>
      <c r="P28" t="e">
        <f>A27/P27</f>
        <v>#DIV/0!</v>
      </c>
      <c r="Q28" t="e">
        <f>A27/Q27</f>
        <v>#DIV/0!</v>
      </c>
      <c r="R28" t="e">
        <f>A27/R27</f>
        <v>#DIV/0!</v>
      </c>
      <c r="S28" t="e">
        <f>A27/S27</f>
        <v>#DIV/0!</v>
      </c>
      <c r="T28">
        <f>A27/T27</f>
        <v>3940.8153606733517</v>
      </c>
      <c r="U28" t="e">
        <f>A27/U27</f>
        <v>#DIV/0!</v>
      </c>
      <c r="V28" t="e">
        <f>A27/V27</f>
        <v>#DIV/0!</v>
      </c>
      <c r="W28" t="e">
        <f>A27/W27</f>
        <v>#DIV/0!</v>
      </c>
      <c r="X28">
        <f>A27/X27</f>
        <v>19546.417843839539</v>
      </c>
      <c r="Y28" t="e">
        <f t="shared" ref="Y28" si="8">K27/Y27</f>
        <v>#DIV/0!</v>
      </c>
    </row>
    <row r="29" spans="1:50" x14ac:dyDescent="0.25">
      <c r="B29">
        <f>599*A27/100/B28</f>
        <v>86.761591799213079</v>
      </c>
      <c r="C29">
        <f>599*A27/100/C28</f>
        <v>25.764746080632477</v>
      </c>
      <c r="D29">
        <f>599*A27/100/D28</f>
        <v>4.931496734199099</v>
      </c>
      <c r="E29">
        <f>599*A27/100/E28</f>
        <v>1.8219639972243187</v>
      </c>
      <c r="F29">
        <f>599*A27/100/F28</f>
        <v>0.18689774294710562</v>
      </c>
      <c r="G29">
        <f>599*A27/100/G28</f>
        <v>9.0268613883998566E-2</v>
      </c>
      <c r="H29">
        <f>599*A27/100/H28</f>
        <v>6.1994540559669589E-2</v>
      </c>
      <c r="I29" s="150">
        <f>599*A27/100/I28</f>
        <v>0.3882308051701604</v>
      </c>
      <c r="J29" s="150">
        <f>599*A27/100/J28</f>
        <v>0.92200414567603151</v>
      </c>
      <c r="K29" s="150">
        <f>599*A27/100/K28</f>
        <v>0.45249553478745391</v>
      </c>
      <c r="L29" s="150">
        <f>599*A27/100/L28</f>
        <v>0.2783346351159427</v>
      </c>
      <c r="M29" s="150">
        <f>599*A27/100/M28</f>
        <v>4.9114308229689797E-2</v>
      </c>
      <c r="N29" s="150">
        <f>599*A27/100/N28</f>
        <v>0.26818920493330012</v>
      </c>
      <c r="O29" s="150">
        <f>599*A27/100/O28</f>
        <v>0.28409676827247077</v>
      </c>
      <c r="P29" t="e">
        <f>599*A27/100/P28</f>
        <v>#DIV/0!</v>
      </c>
      <c r="Q29" t="e">
        <f>599*A27/100/Q28</f>
        <v>#DIV/0!</v>
      </c>
      <c r="R29" t="e">
        <f>599*A27/100/R28</f>
        <v>#DIV/0!</v>
      </c>
      <c r="S29" t="e">
        <f>599*A27/100/S28</f>
        <v>#DIV/0!</v>
      </c>
      <c r="T29">
        <f>599*A27/100/T28</f>
        <v>0.12093772762823714</v>
      </c>
      <c r="U29" t="e">
        <f>599*A27/100/U28</f>
        <v>#DIV/0!</v>
      </c>
      <c r="V29" t="e">
        <f>599*A27/100/V28</f>
        <v>#DIV/0!</v>
      </c>
      <c r="W29" t="e">
        <f>599*A27/100/W28</f>
        <v>#DIV/0!</v>
      </c>
      <c r="X29">
        <f>599*A27/100/X28</f>
        <v>2.4382639240084353E-2</v>
      </c>
      <c r="Y29" t="e">
        <f>599*A27/100/Y28</f>
        <v>#DIV/0!</v>
      </c>
    </row>
    <row r="30" spans="1:50" x14ac:dyDescent="0.25">
      <c r="A30" t="s">
        <v>200</v>
      </c>
      <c r="B30" s="43">
        <f>B29+C29+F29+G29+D29+E29+H29</f>
        <v>119.61895950865974</v>
      </c>
      <c r="C30">
        <f>B25+C25+D25+E25+F25+G25+H25</f>
        <v>119.33200000000001</v>
      </c>
      <c r="G30" s="44"/>
      <c r="H30" s="44"/>
      <c r="I30" s="44"/>
      <c r="J30" s="44"/>
      <c r="K30" s="44"/>
      <c r="L30" s="44"/>
      <c r="M30" s="44"/>
      <c r="O30" s="49"/>
    </row>
    <row r="31" spans="1:50" ht="15.75" x14ac:dyDescent="0.25">
      <c r="B31" s="47">
        <f>J29+I29+K29+L29+M29+N29+O29+T29+X29</f>
        <v>2.7877857690533712</v>
      </c>
      <c r="C31">
        <f>I25+J25+K25+L25+T25+X25+N25+O25</f>
        <v>2.8052000000000001</v>
      </c>
      <c r="J31">
        <v>3</v>
      </c>
      <c r="K31">
        <v>4</v>
      </c>
      <c r="L31">
        <v>5</v>
      </c>
      <c r="M31" s="65">
        <v>6</v>
      </c>
      <c r="N31">
        <v>7</v>
      </c>
      <c r="O31">
        <v>8</v>
      </c>
    </row>
    <row r="32" spans="1:50" x14ac:dyDescent="0.25">
      <c r="B32">
        <f>B30+B31</f>
        <v>122.40674527771311</v>
      </c>
      <c r="C32">
        <f>C30+C31</f>
        <v>122.13720000000001</v>
      </c>
      <c r="E32">
        <f>F29+G29+H29</f>
        <v>0.33916089739077376</v>
      </c>
      <c r="J32">
        <f>1/3</f>
        <v>0.33333333333333331</v>
      </c>
      <c r="K32">
        <f>1/4</f>
        <v>0.25</v>
      </c>
      <c r="L32">
        <f>1/5</f>
        <v>0.2</v>
      </c>
      <c r="M32">
        <f t="shared" ref="M32:M37" si="9">1/6</f>
        <v>0.16666666666666666</v>
      </c>
      <c r="N32">
        <f t="shared" ref="N32:N38" si="10">1/7</f>
        <v>0.14285714285714285</v>
      </c>
      <c r="O32">
        <f>1/8</f>
        <v>0.125</v>
      </c>
    </row>
    <row r="33" spans="1:15" ht="15.75" x14ac:dyDescent="0.25">
      <c r="G33" s="5">
        <v>1</v>
      </c>
      <c r="H33" s="30">
        <f>G33*100/599</f>
        <v>0.1669449081803005</v>
      </c>
      <c r="J33">
        <f>1/3</f>
        <v>0.33333333333333331</v>
      </c>
      <c r="K33">
        <f>1/4</f>
        <v>0.25</v>
      </c>
      <c r="L33">
        <f t="shared" ref="L33:L36" si="11">1/5</f>
        <v>0.2</v>
      </c>
      <c r="M33">
        <f t="shared" si="9"/>
        <v>0.16666666666666666</v>
      </c>
      <c r="N33">
        <f t="shared" si="10"/>
        <v>0.14285714285714285</v>
      </c>
      <c r="O33">
        <f t="shared" ref="O33:O39" si="12">1/8</f>
        <v>0.125</v>
      </c>
    </row>
    <row r="34" spans="1:15" ht="15.75" x14ac:dyDescent="0.25">
      <c r="A34" t="s">
        <v>170</v>
      </c>
      <c r="B34">
        <f>B29+C29</f>
        <v>112.52633787984556</v>
      </c>
      <c r="D34">
        <f>120-C25-D25-E25-F25-G25-H25</f>
        <v>86.667999999999992</v>
      </c>
      <c r="F34" s="5">
        <v>2</v>
      </c>
      <c r="G34" s="5">
        <v>0.5</v>
      </c>
      <c r="H34" s="30">
        <f t="shared" ref="H34:H42" si="13">G34*100/599</f>
        <v>8.347245409015025E-2</v>
      </c>
      <c r="J34">
        <f>1/3</f>
        <v>0.33333333333333331</v>
      </c>
      <c r="K34">
        <f>1/4</f>
        <v>0.25</v>
      </c>
      <c r="L34">
        <f t="shared" si="11"/>
        <v>0.2</v>
      </c>
      <c r="M34">
        <f t="shared" si="9"/>
        <v>0.16666666666666666</v>
      </c>
      <c r="N34">
        <f t="shared" si="10"/>
        <v>0.14285714285714285</v>
      </c>
      <c r="O34">
        <f t="shared" si="12"/>
        <v>0.125</v>
      </c>
    </row>
    <row r="35" spans="1:15" ht="15.75" x14ac:dyDescent="0.25">
      <c r="A35" t="s">
        <v>170</v>
      </c>
      <c r="B35">
        <f>B25+C25+D25+E25+F25+G25+H25</f>
        <v>119.33200000000001</v>
      </c>
      <c r="F35" s="3">
        <v>3</v>
      </c>
      <c r="G35" s="3">
        <v>0.33333000000000002</v>
      </c>
      <c r="H35" s="30">
        <f t="shared" si="13"/>
        <v>5.5647746243739561E-2</v>
      </c>
      <c r="K35">
        <f>1/4</f>
        <v>0.25</v>
      </c>
      <c r="L35">
        <f t="shared" si="11"/>
        <v>0.2</v>
      </c>
      <c r="M35">
        <f t="shared" si="9"/>
        <v>0.16666666666666666</v>
      </c>
      <c r="N35">
        <f t="shared" si="10"/>
        <v>0.14285714285714285</v>
      </c>
      <c r="O35">
        <f t="shared" si="12"/>
        <v>0.125</v>
      </c>
    </row>
    <row r="36" spans="1:15" ht="15.75" x14ac:dyDescent="0.25">
      <c r="A36" t="s">
        <v>202</v>
      </c>
      <c r="B36">
        <f>D29+E29+F29+G29+H29</f>
        <v>7.0926216288141912</v>
      </c>
      <c r="F36" s="3">
        <v>4</v>
      </c>
      <c r="G36" s="3">
        <v>0.25</v>
      </c>
      <c r="H36" s="30">
        <f t="shared" si="13"/>
        <v>4.1736227045075125E-2</v>
      </c>
      <c r="L36">
        <f t="shared" si="11"/>
        <v>0.2</v>
      </c>
      <c r="M36">
        <f t="shared" si="9"/>
        <v>0.16666666666666666</v>
      </c>
      <c r="N36">
        <f t="shared" si="10"/>
        <v>0.14285714285714285</v>
      </c>
      <c r="O36">
        <f t="shared" si="12"/>
        <v>0.125</v>
      </c>
    </row>
    <row r="37" spans="1:15" ht="15.75" x14ac:dyDescent="0.25">
      <c r="F37" s="28">
        <v>5</v>
      </c>
      <c r="G37" s="5">
        <v>0.2</v>
      </c>
      <c r="H37" s="31">
        <f t="shared" si="13"/>
        <v>3.3388981636060099E-2</v>
      </c>
      <c r="M37">
        <f t="shared" si="9"/>
        <v>0.16666666666666666</v>
      </c>
      <c r="N37">
        <f t="shared" si="10"/>
        <v>0.14285714285714285</v>
      </c>
      <c r="O37">
        <f t="shared" si="12"/>
        <v>0.125</v>
      </c>
    </row>
    <row r="38" spans="1:15" ht="15.75" x14ac:dyDescent="0.25">
      <c r="A38" t="s">
        <v>201</v>
      </c>
      <c r="B38" s="150">
        <f>K29+L29+N29+O29+M29+J29+I29</f>
        <v>2.6424654021850489</v>
      </c>
      <c r="F38" s="3">
        <v>6</v>
      </c>
      <c r="G38" s="5">
        <v>0.16666600000000001</v>
      </c>
      <c r="H38" s="31">
        <f t="shared" si="13"/>
        <v>2.7824040066777966E-2</v>
      </c>
      <c r="N38">
        <f t="shared" si="10"/>
        <v>0.14285714285714285</v>
      </c>
      <c r="O38">
        <f t="shared" si="12"/>
        <v>0.125</v>
      </c>
    </row>
    <row r="39" spans="1:15" ht="15.75" x14ac:dyDescent="0.25">
      <c r="A39" t="s">
        <v>201</v>
      </c>
      <c r="B39">
        <f>I25+J25+K25+L25+N25+O25+T25+X25</f>
        <v>2.8052000000000001</v>
      </c>
      <c r="F39" s="3">
        <v>7</v>
      </c>
      <c r="G39" s="3">
        <v>0.14280000000000001</v>
      </c>
      <c r="H39" s="31">
        <f t="shared" si="13"/>
        <v>2.3839732888146913E-2</v>
      </c>
      <c r="O39">
        <f t="shared" si="12"/>
        <v>0.125</v>
      </c>
    </row>
    <row r="40" spans="1:15" ht="15.75" x14ac:dyDescent="0.25">
      <c r="F40" s="28">
        <v>8</v>
      </c>
      <c r="G40" s="28">
        <v>0.125</v>
      </c>
      <c r="H40" s="31">
        <f t="shared" si="13"/>
        <v>2.0868113522537562E-2</v>
      </c>
    </row>
    <row r="41" spans="1:15" ht="18.75" x14ac:dyDescent="0.3">
      <c r="F41" s="3"/>
      <c r="G41" s="93">
        <v>0.375</v>
      </c>
      <c r="H41" s="148">
        <f t="shared" si="13"/>
        <v>6.2604340567612687E-2</v>
      </c>
    </row>
    <row r="42" spans="1:15" ht="18.75" x14ac:dyDescent="0.3">
      <c r="G42" s="149">
        <f>1-G41</f>
        <v>0.625</v>
      </c>
      <c r="H42" s="148">
        <f t="shared" si="13"/>
        <v>0.10434056761268781</v>
      </c>
    </row>
    <row r="44" spans="1:15" x14ac:dyDescent="0.25">
      <c r="G44">
        <v>0.78</v>
      </c>
      <c r="H44">
        <v>0.8</v>
      </c>
    </row>
    <row r="45" spans="1:15" x14ac:dyDescent="0.25">
      <c r="G45">
        <f>1-G44</f>
        <v>0.21999999999999997</v>
      </c>
      <c r="H45">
        <v>0.2</v>
      </c>
    </row>
  </sheetData>
  <phoneticPr fontId="61" type="noConversion"/>
  <pageMargins left="0.7" right="0.7" top="0.78740157499999996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942BD-E866-4628-A96E-E39BE52BF5B8}">
  <dimension ref="A1:BE189"/>
  <sheetViews>
    <sheetView zoomScale="86" zoomScaleNormal="86" workbookViewId="0">
      <selection activeCell="C5" sqref="C5:R7"/>
    </sheetView>
  </sheetViews>
  <sheetFormatPr baseColWidth="10" defaultColWidth="8.7109375" defaultRowHeight="15" x14ac:dyDescent="0.25"/>
  <cols>
    <col min="1" max="1" width="24.42578125" customWidth="1"/>
    <col min="2" max="2" width="14.42578125" customWidth="1"/>
    <col min="3" max="3" width="13.42578125" customWidth="1"/>
    <col min="4" max="5" width="8.28515625" customWidth="1"/>
    <col min="6" max="6" width="7.85546875" customWidth="1"/>
    <col min="7" max="7" width="5.7109375" customWidth="1"/>
    <col min="8" max="8" width="6.5703125" customWidth="1"/>
    <col min="9" max="9" width="9.42578125" customWidth="1"/>
    <col min="10" max="11" width="12.7109375" customWidth="1"/>
    <col min="12" max="12" width="9" customWidth="1"/>
    <col min="13" max="13" width="8.42578125" customWidth="1"/>
    <col min="14" max="14" width="7.7109375" customWidth="1"/>
    <col min="15" max="15" width="19.5703125" customWidth="1"/>
    <col min="16" max="16" width="11.42578125" bestFit="1" customWidth="1"/>
    <col min="17" max="19" width="12.42578125" bestFit="1" customWidth="1"/>
    <col min="20" max="20" width="11.42578125" bestFit="1" customWidth="1"/>
    <col min="21" max="26" width="12.42578125" bestFit="1" customWidth="1"/>
  </cols>
  <sheetData>
    <row r="1" spans="1:27" ht="21" x14ac:dyDescent="0.35">
      <c r="A1" s="89" t="s">
        <v>34</v>
      </c>
      <c r="B1" s="89"/>
      <c r="C1" s="89" t="e">
        <f>C5-C2</f>
        <v>#DIV/0!</v>
      </c>
      <c r="D1" s="89" t="e">
        <f>D4-D2</f>
        <v>#DIV/0!</v>
      </c>
      <c r="E1" s="89">
        <f>E2-E5</f>
        <v>0</v>
      </c>
      <c r="F1" s="89" t="e">
        <f>F4-F2</f>
        <v>#DIV/0!</v>
      </c>
      <c r="G1" s="89" t="e">
        <f t="shared" ref="G1:O1" si="0">G4-G2</f>
        <v>#DIV/0!</v>
      </c>
      <c r="H1" s="89" t="e">
        <f t="shared" si="0"/>
        <v>#DIV/0!</v>
      </c>
      <c r="I1" s="89" t="e">
        <f>I4-I2</f>
        <v>#DIV/0!</v>
      </c>
      <c r="J1" s="89">
        <f>J5-J2</f>
        <v>0</v>
      </c>
      <c r="K1" s="89">
        <f>K5-K2</f>
        <v>0</v>
      </c>
      <c r="L1" s="89" t="e">
        <f t="shared" si="0"/>
        <v>#DIV/0!</v>
      </c>
      <c r="M1" s="89" t="e">
        <f t="shared" si="0"/>
        <v>#DIV/0!</v>
      </c>
      <c r="N1" s="89" t="e">
        <f t="shared" si="0"/>
        <v>#DIV/0!</v>
      </c>
      <c r="O1" s="89" t="e">
        <f t="shared" si="0"/>
        <v>#DIV/0!</v>
      </c>
      <c r="P1" s="89"/>
      <c r="Q1" s="89"/>
      <c r="R1" s="89"/>
      <c r="S1" s="89"/>
      <c r="T1" s="89"/>
      <c r="U1" s="89"/>
      <c r="V1" s="89"/>
      <c r="W1" s="89"/>
      <c r="X1" s="89"/>
      <c r="Y1" s="89"/>
    </row>
    <row r="2" spans="1:27" ht="21" x14ac:dyDescent="0.35">
      <c r="A2" s="89" t="s">
        <v>37</v>
      </c>
      <c r="B2" s="138">
        <f>100-C2-D2-E2-F2-G2-H2-I2-J2-K2-L2-M2-N2-O2</f>
        <v>100</v>
      </c>
      <c r="C2" s="89">
        <f>'1.0330_3'!C9</f>
        <v>0</v>
      </c>
      <c r="D2" s="89">
        <f>'1.0330_3'!D9</f>
        <v>0</v>
      </c>
      <c r="E2" s="89">
        <f>'1.0330_3'!E9</f>
        <v>0</v>
      </c>
      <c r="F2" s="89">
        <f>'1.0330_3'!F9</f>
        <v>0</v>
      </c>
      <c r="G2" s="89">
        <f>'1.0330_3'!G9</f>
        <v>0</v>
      </c>
      <c r="H2" s="89">
        <f>'1.0330_3'!H9</f>
        <v>0</v>
      </c>
      <c r="I2" s="89">
        <f>'1.0330_3'!I9</f>
        <v>0</v>
      </c>
      <c r="J2" s="89">
        <f>'1.0330_3'!J9</f>
        <v>0</v>
      </c>
      <c r="K2" s="89">
        <f>'1.0330_3'!K9</f>
        <v>0</v>
      </c>
      <c r="L2" s="89">
        <f>'1.0330_3'!L9</f>
        <v>0</v>
      </c>
      <c r="M2" s="89">
        <f>'1.0330_3'!M9</f>
        <v>0</v>
      </c>
      <c r="N2" s="89">
        <f>'1.0330_3'!N9</f>
        <v>0</v>
      </c>
      <c r="O2" s="89">
        <f>'1.0330_3'!O9</f>
        <v>0</v>
      </c>
      <c r="P2" s="89">
        <f>'1.0330_3'!P9</f>
        <v>0</v>
      </c>
      <c r="Q2" s="89">
        <f>'1.0330_3'!Q9</f>
        <v>0</v>
      </c>
      <c r="R2" s="89">
        <f>'1.0330_3'!R9</f>
        <v>0</v>
      </c>
      <c r="S2" s="89">
        <f>'1.0330_3'!S9</f>
        <v>0</v>
      </c>
      <c r="T2" s="89">
        <f>'1.0330_3'!T9</f>
        <v>0</v>
      </c>
      <c r="U2" s="89">
        <f>'1.0330_3'!U9</f>
        <v>0</v>
      </c>
      <c r="V2" s="89">
        <f>'1.0330_3'!V9</f>
        <v>0</v>
      </c>
      <c r="W2" s="89">
        <f>'1.0330_3'!W9</f>
        <v>0</v>
      </c>
      <c r="X2" s="89">
        <f>'1.0330_3'!X9</f>
        <v>0</v>
      </c>
      <c r="Y2" s="89">
        <f>'1.0330_3'!Y9</f>
        <v>0</v>
      </c>
      <c r="Z2" s="89">
        <f>'1.0330_3'!Z9</f>
        <v>0</v>
      </c>
    </row>
    <row r="3" spans="1:27" ht="21" x14ac:dyDescent="0.35">
      <c r="A3" s="89"/>
      <c r="B3" s="210" t="s">
        <v>14</v>
      </c>
      <c r="C3" s="210" t="s">
        <v>15</v>
      </c>
      <c r="D3" s="210" t="s">
        <v>8</v>
      </c>
      <c r="E3" s="210" t="s">
        <v>9</v>
      </c>
      <c r="F3" s="210" t="s">
        <v>234</v>
      </c>
      <c r="G3" s="210" t="s">
        <v>56</v>
      </c>
      <c r="H3" s="210" t="s">
        <v>57</v>
      </c>
      <c r="I3" s="210" t="s">
        <v>58</v>
      </c>
      <c r="J3" s="210" t="s">
        <v>77</v>
      </c>
      <c r="K3" s="210" t="s">
        <v>204</v>
      </c>
      <c r="L3" s="210" t="s">
        <v>16</v>
      </c>
      <c r="M3" s="210" t="s">
        <v>12</v>
      </c>
      <c r="N3" s="210" t="s">
        <v>44</v>
      </c>
      <c r="O3" s="210" t="s">
        <v>55</v>
      </c>
      <c r="P3" s="210" t="s">
        <v>17</v>
      </c>
      <c r="Q3" s="210" t="s">
        <v>80</v>
      </c>
      <c r="R3" s="210" t="s">
        <v>81</v>
      </c>
      <c r="S3" s="210" t="s">
        <v>82</v>
      </c>
      <c r="T3" s="210" t="s">
        <v>83</v>
      </c>
      <c r="U3" s="210" t="s">
        <v>45</v>
      </c>
      <c r="V3" s="210" t="s">
        <v>43</v>
      </c>
      <c r="W3" s="210" t="s">
        <v>13</v>
      </c>
      <c r="X3" s="210" t="s">
        <v>0</v>
      </c>
      <c r="Y3" s="210" t="s">
        <v>11</v>
      </c>
      <c r="Z3" s="210" t="s">
        <v>10</v>
      </c>
    </row>
    <row r="4" spans="1:27" ht="21" x14ac:dyDescent="0.35">
      <c r="A4" s="89" t="s">
        <v>35</v>
      </c>
      <c r="B4" s="89" t="e">
        <f>100-C4-D4-E4-F4-G4-H4-I4-J4-K4-L4-M4-N4-O4-P4-Q4-R4-S4-T4-U4-V4-W4-X4-Y4-Z4</f>
        <v>#DIV/0!</v>
      </c>
      <c r="C4" s="89" t="e">
        <f>'opt 6'!C56</f>
        <v>#DIV/0!</v>
      </c>
      <c r="D4" s="89" t="e">
        <f>'opt 6'!D56</f>
        <v>#DIV/0!</v>
      </c>
      <c r="E4" s="89" t="e">
        <f>'opt 6'!E56</f>
        <v>#DIV/0!</v>
      </c>
      <c r="F4" s="89" t="e">
        <f>'opt 6'!F56</f>
        <v>#DIV/0!</v>
      </c>
      <c r="G4" s="89" t="e">
        <f>'opt 6'!G56</f>
        <v>#DIV/0!</v>
      </c>
      <c r="H4" s="89" t="e">
        <f>'opt 6'!H56</f>
        <v>#DIV/0!</v>
      </c>
      <c r="I4" s="89" t="e">
        <f>'opt 6'!I56</f>
        <v>#DIV/0!</v>
      </c>
      <c r="J4" s="89" t="e">
        <f>'opt 6'!J56</f>
        <v>#DIV/0!</v>
      </c>
      <c r="K4" s="89" t="e">
        <f>'opt 6'!K56</f>
        <v>#DIV/0!</v>
      </c>
      <c r="L4" s="89" t="e">
        <f>'opt 6'!L56</f>
        <v>#DIV/0!</v>
      </c>
      <c r="M4" s="89" t="e">
        <f>'opt 6'!M56</f>
        <v>#DIV/0!</v>
      </c>
      <c r="N4" s="89" t="e">
        <f>'opt 6'!N56</f>
        <v>#DIV/0!</v>
      </c>
      <c r="O4" s="89" t="e">
        <f>'opt 6'!O56</f>
        <v>#DIV/0!</v>
      </c>
      <c r="P4" s="89" t="e">
        <f>'opt 6'!P56</f>
        <v>#DIV/0!</v>
      </c>
      <c r="Q4" s="89" t="e">
        <f>'opt 6'!Q56</f>
        <v>#DIV/0!</v>
      </c>
      <c r="R4" s="89" t="e">
        <f>'opt 6'!R56</f>
        <v>#DIV/0!</v>
      </c>
      <c r="S4" s="89" t="e">
        <f>'opt 6'!S56</f>
        <v>#DIV/0!</v>
      </c>
      <c r="T4" s="89" t="e">
        <f>'opt 6'!T56</f>
        <v>#DIV/0!</v>
      </c>
      <c r="U4" s="89" t="e">
        <f>'opt 6'!U56</f>
        <v>#DIV/0!</v>
      </c>
      <c r="V4" s="89" t="e">
        <f>'opt 6'!V56</f>
        <v>#DIV/0!</v>
      </c>
      <c r="W4" s="89" t="e">
        <f>'opt 6'!W56</f>
        <v>#DIV/0!</v>
      </c>
      <c r="X4" s="89" t="e">
        <f>'opt 6'!X56</f>
        <v>#DIV/0!</v>
      </c>
      <c r="Y4" s="89" t="e">
        <f>'opt 6'!Y56</f>
        <v>#DIV/0!</v>
      </c>
      <c r="Z4" t="e">
        <f>'opt 6'!Z56</f>
        <v>#DIV/0!</v>
      </c>
    </row>
    <row r="5" spans="1:27" ht="21" x14ac:dyDescent="0.35">
      <c r="A5" s="89" t="s">
        <v>36</v>
      </c>
      <c r="B5" s="89" t="e">
        <f>100-C5-D5-E5-F5-G5-H5-I5-J5-K5-L5-M5-N5-O5</f>
        <v>#DIV/0!</v>
      </c>
      <c r="C5" s="149" t="e">
        <f>C4</f>
        <v>#DIV/0!</v>
      </c>
      <c r="D5" s="158"/>
      <c r="E5" s="159"/>
      <c r="F5" s="159"/>
      <c r="G5" s="159" t="e">
        <f>G4+D4+E4+F4+H4+I4+J4+K4+M4+V4</f>
        <v>#DIV/0!</v>
      </c>
      <c r="H5" s="159"/>
      <c r="I5" s="159"/>
      <c r="J5" s="149"/>
      <c r="K5" s="149"/>
      <c r="L5" s="7" t="e">
        <f>L4</f>
        <v>#DIV/0!</v>
      </c>
      <c r="M5" s="7"/>
      <c r="N5" s="7" t="e">
        <f>N4+P4+Q4+R4+S4+T4+U4+W4+X4+Y4+Z4</f>
        <v>#DIV/0!</v>
      </c>
      <c r="O5" s="7" t="e">
        <f>O4</f>
        <v>#DIV/0!</v>
      </c>
      <c r="P5" s="7"/>
      <c r="Q5" s="7"/>
      <c r="R5" s="89"/>
      <c r="S5" s="89"/>
      <c r="T5" s="89"/>
      <c r="U5" s="89"/>
      <c r="V5" s="89"/>
      <c r="W5" s="89"/>
      <c r="X5" s="89"/>
      <c r="Y5" s="89"/>
      <c r="Z5" s="89"/>
      <c r="AA5" s="89"/>
    </row>
    <row r="6" spans="1:27" ht="21" x14ac:dyDescent="0.35">
      <c r="A6" s="89"/>
      <c r="B6" s="8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89"/>
      <c r="S6" s="89"/>
      <c r="T6" s="89"/>
      <c r="U6" s="89"/>
      <c r="V6" s="89"/>
      <c r="W6" s="89"/>
      <c r="X6" s="89"/>
      <c r="Y6" s="89"/>
      <c r="Z6" s="89"/>
      <c r="AA6" s="89"/>
    </row>
    <row r="7" spans="1:27" ht="21" x14ac:dyDescent="0.35">
      <c r="A7" s="89" t="s">
        <v>92</v>
      </c>
      <c r="B7" s="139" t="e">
        <f>100-C7-D7-E7-F7-G7-H7-I7-J7-K7-L7-M7-N7-O7-P7-Q7-R7-S7-T7-U7-V7-W7-X7-Y7-Z7</f>
        <v>#DIV/0!</v>
      </c>
      <c r="C7" s="156">
        <f>C2</f>
        <v>0</v>
      </c>
      <c r="D7" s="156"/>
      <c r="E7" s="156"/>
      <c r="F7" s="156"/>
      <c r="G7" s="156" t="e">
        <f>G2-D4-E4-F4-H4-I4-J4-K4-M4-V4</f>
        <v>#DIV/0!</v>
      </c>
      <c r="H7" s="156"/>
      <c r="I7" s="156"/>
      <c r="J7" s="156"/>
      <c r="K7" s="156"/>
      <c r="L7" s="156">
        <f>L2</f>
        <v>0</v>
      </c>
      <c r="M7" s="156">
        <f>M2</f>
        <v>0</v>
      </c>
      <c r="N7" s="156" t="e">
        <f>N2-P4-Q4-R4-S4-T4-U4-W4-X4-Y4-Z4</f>
        <v>#DIV/0!</v>
      </c>
      <c r="O7" s="156"/>
      <c r="P7" s="156"/>
      <c r="Q7" s="156"/>
      <c r="R7" s="177"/>
      <c r="S7" s="177"/>
      <c r="T7" s="89"/>
      <c r="U7" s="89"/>
      <c r="V7" s="89"/>
      <c r="W7" s="89"/>
      <c r="X7" s="89"/>
      <c r="Y7" s="89"/>
      <c r="Z7" s="89"/>
      <c r="AA7" s="89"/>
    </row>
    <row r="8" spans="1:27" ht="21" x14ac:dyDescent="0.35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</row>
    <row r="9" spans="1:27" ht="21" x14ac:dyDescent="0.35">
      <c r="A9" s="89"/>
      <c r="B9" s="89"/>
      <c r="C9" s="89"/>
      <c r="D9" s="89"/>
      <c r="E9" s="89"/>
      <c r="F9" s="89" t="s">
        <v>7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pans="1:27" ht="21" x14ac:dyDescent="0.35">
      <c r="A10" s="89" t="s">
        <v>32</v>
      </c>
      <c r="B10" s="180"/>
      <c r="C10" s="180"/>
      <c r="D10" s="89"/>
      <c r="E10" s="180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7" ht="21" x14ac:dyDescent="0.35">
      <c r="A11" s="89" t="s">
        <v>33</v>
      </c>
      <c r="B11" s="181"/>
      <c r="C11" s="181"/>
      <c r="D11" s="89"/>
      <c r="E11" s="181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7" ht="21" x14ac:dyDescent="0.35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  <row r="13" spans="1:27" ht="21" x14ac:dyDescent="0.35">
      <c r="A13" s="89"/>
      <c r="B13" s="89" t="s">
        <v>14</v>
      </c>
      <c r="C13" s="180" t="s">
        <v>56</v>
      </c>
      <c r="D13" s="180" t="s">
        <v>15</v>
      </c>
      <c r="E13" s="181" t="s">
        <v>8</v>
      </c>
      <c r="F13" s="180" t="s">
        <v>9</v>
      </c>
      <c r="G13" s="180" t="s">
        <v>57</v>
      </c>
      <c r="H13" s="181" t="s">
        <v>58</v>
      </c>
      <c r="I13" s="180" t="s">
        <v>77</v>
      </c>
      <c r="J13" s="181" t="s">
        <v>13</v>
      </c>
      <c r="K13" s="180" t="s">
        <v>16</v>
      </c>
      <c r="L13" s="180" t="s">
        <v>55</v>
      </c>
      <c r="M13" s="181" t="s">
        <v>44</v>
      </c>
      <c r="N13" s="181" t="s">
        <v>10</v>
      </c>
      <c r="O13" s="180" t="s">
        <v>12</v>
      </c>
      <c r="P13" s="89"/>
      <c r="Q13" s="89"/>
      <c r="R13" s="89"/>
      <c r="S13" s="89"/>
      <c r="T13" s="89"/>
      <c r="U13" s="89"/>
      <c r="V13" s="89"/>
      <c r="W13" s="89"/>
      <c r="X13" s="89"/>
      <c r="Y13" s="89"/>
    </row>
    <row r="14" spans="1:27" ht="21" x14ac:dyDescent="0.35">
      <c r="A14" s="89" t="s">
        <v>39</v>
      </c>
      <c r="B14" s="89" t="e">
        <f>100-(C14+D14+E14+F14+G14+H14+I14+J14+K14+L14+M14+N14+O14)</f>
        <v>#DIV/0!</v>
      </c>
      <c r="C14" s="89" t="e">
        <f>C5-C1</f>
        <v>#DIV/0!</v>
      </c>
      <c r="D14" s="89" t="e">
        <f>D5-D1</f>
        <v>#DIV/0!</v>
      </c>
      <c r="E14" s="89">
        <f t="shared" ref="E14:I14" si="1">E5</f>
        <v>0</v>
      </c>
      <c r="F14" s="89">
        <f t="shared" si="1"/>
        <v>0</v>
      </c>
      <c r="G14" s="89" t="e">
        <f t="shared" si="1"/>
        <v>#DIV/0!</v>
      </c>
      <c r="H14" s="89">
        <f t="shared" si="1"/>
        <v>0</v>
      </c>
      <c r="I14" s="89">
        <f t="shared" si="1"/>
        <v>0</v>
      </c>
      <c r="J14" s="89">
        <f>J5-J1</f>
        <v>0</v>
      </c>
      <c r="K14" s="89">
        <f>K5-K1</f>
        <v>0</v>
      </c>
      <c r="L14" s="89" t="e">
        <f t="shared" ref="L14:O14" si="2">L5</f>
        <v>#DIV/0!</v>
      </c>
      <c r="M14" s="89">
        <f t="shared" si="2"/>
        <v>0</v>
      </c>
      <c r="N14" s="89" t="e">
        <f t="shared" si="2"/>
        <v>#DIV/0!</v>
      </c>
      <c r="O14" s="89" t="e">
        <f t="shared" si="2"/>
        <v>#DIV/0!</v>
      </c>
      <c r="P14" s="89"/>
      <c r="Q14" s="89"/>
      <c r="R14" s="89"/>
      <c r="S14" s="89"/>
      <c r="T14" s="89"/>
      <c r="U14" s="89"/>
      <c r="V14" s="89"/>
      <c r="W14" s="89"/>
      <c r="X14" s="89"/>
      <c r="Y14" s="89"/>
    </row>
    <row r="15" spans="1:27" ht="21" x14ac:dyDescent="0.3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</row>
    <row r="16" spans="1:27" ht="21" x14ac:dyDescent="0.3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</row>
    <row r="17" spans="1:57" ht="21" x14ac:dyDescent="0.35">
      <c r="A17" s="89"/>
      <c r="B17" s="210" t="s">
        <v>14</v>
      </c>
      <c r="C17" s="210" t="s">
        <v>15</v>
      </c>
      <c r="D17" s="210" t="s">
        <v>8</v>
      </c>
      <c r="E17" s="210" t="s">
        <v>9</v>
      </c>
      <c r="F17" s="210" t="s">
        <v>234</v>
      </c>
      <c r="G17" s="210" t="s">
        <v>56</v>
      </c>
      <c r="H17" s="210" t="s">
        <v>57</v>
      </c>
      <c r="I17" s="210" t="s">
        <v>58</v>
      </c>
      <c r="J17" s="210" t="s">
        <v>77</v>
      </c>
      <c r="K17" s="210" t="s">
        <v>204</v>
      </c>
      <c r="L17" s="210" t="s">
        <v>16</v>
      </c>
      <c r="M17" s="210" t="s">
        <v>12</v>
      </c>
      <c r="N17" s="210" t="s">
        <v>44</v>
      </c>
      <c r="O17" s="210" t="s">
        <v>55</v>
      </c>
      <c r="P17" s="210" t="s">
        <v>17</v>
      </c>
      <c r="Q17" s="210" t="s">
        <v>80</v>
      </c>
      <c r="R17" s="210" t="s">
        <v>81</v>
      </c>
      <c r="S17" s="210" t="s">
        <v>82</v>
      </c>
      <c r="T17" s="210" t="s">
        <v>83</v>
      </c>
      <c r="U17" s="210" t="s">
        <v>45</v>
      </c>
      <c r="V17" s="210" t="s">
        <v>43</v>
      </c>
      <c r="W17" s="210" t="s">
        <v>13</v>
      </c>
      <c r="X17" s="210" t="s">
        <v>0</v>
      </c>
      <c r="Y17" s="210" t="s">
        <v>11</v>
      </c>
      <c r="Z17" s="210" t="s">
        <v>10</v>
      </c>
      <c r="AA17" s="211" t="s">
        <v>14</v>
      </c>
      <c r="AB17" s="212" t="s">
        <v>15</v>
      </c>
      <c r="AC17" s="213" t="s">
        <v>8</v>
      </c>
      <c r="AD17" s="214" t="s">
        <v>9</v>
      </c>
      <c r="AE17" s="213" t="s">
        <v>234</v>
      </c>
      <c r="AF17" s="213" t="s">
        <v>56</v>
      </c>
      <c r="AG17" s="214" t="s">
        <v>57</v>
      </c>
      <c r="AH17" s="213" t="s">
        <v>58</v>
      </c>
      <c r="AI17" s="215" t="s">
        <v>77</v>
      </c>
      <c r="AJ17" s="216" t="s">
        <v>204</v>
      </c>
      <c r="AK17" s="216" t="s">
        <v>16</v>
      </c>
      <c r="AL17" s="215" t="s">
        <v>12</v>
      </c>
      <c r="AM17" s="215" t="s">
        <v>44</v>
      </c>
      <c r="AN17" s="216" t="s">
        <v>55</v>
      </c>
      <c r="AO17" s="210" t="s">
        <v>17</v>
      </c>
      <c r="AP17" s="210" t="s">
        <v>80</v>
      </c>
      <c r="AQ17" s="210" t="s">
        <v>81</v>
      </c>
      <c r="AR17" s="210" t="s">
        <v>82</v>
      </c>
      <c r="AS17" s="210" t="s">
        <v>83</v>
      </c>
      <c r="AT17" s="210" t="s">
        <v>45</v>
      </c>
      <c r="AU17" s="210" t="s">
        <v>43</v>
      </c>
      <c r="AV17" s="210" t="s">
        <v>13</v>
      </c>
      <c r="AW17" s="210" t="s">
        <v>0</v>
      </c>
      <c r="AX17" s="210" t="s">
        <v>11</v>
      </c>
      <c r="AY17" s="210" t="s">
        <v>10</v>
      </c>
    </row>
    <row r="18" spans="1:57" ht="21" x14ac:dyDescent="0.35">
      <c r="A18" s="89"/>
      <c r="B18" s="217" t="e">
        <f>100-C18-D18-E18-F18-G18-H18-I18-J18-K18-L18-M18-N18-O18-P18-Q18-R18-S18-T18-U18-V18-W18-X18-Y18-Z18</f>
        <v>#DIV/0!</v>
      </c>
      <c r="C18" s="218">
        <f>C7</f>
        <v>0</v>
      </c>
      <c r="D18" s="218" t="e">
        <f t="shared" ref="D18:Z18" si="3">D4</f>
        <v>#DIV/0!</v>
      </c>
      <c r="E18" s="218" t="e">
        <f t="shared" si="3"/>
        <v>#DIV/0!</v>
      </c>
      <c r="F18" s="218" t="e">
        <f t="shared" si="3"/>
        <v>#DIV/0!</v>
      </c>
      <c r="G18" s="218" t="e">
        <f>G7</f>
        <v>#DIV/0!</v>
      </c>
      <c r="H18" s="218" t="e">
        <f t="shared" si="3"/>
        <v>#DIV/0!</v>
      </c>
      <c r="I18" s="218" t="e">
        <f t="shared" si="3"/>
        <v>#DIV/0!</v>
      </c>
      <c r="J18" s="218" t="e">
        <f t="shared" si="3"/>
        <v>#DIV/0!</v>
      </c>
      <c r="K18" s="218" t="e">
        <f t="shared" si="3"/>
        <v>#DIV/0!</v>
      </c>
      <c r="L18" s="218">
        <f>L7</f>
        <v>0</v>
      </c>
      <c r="M18" s="218">
        <f>M7</f>
        <v>0</v>
      </c>
      <c r="N18" s="218" t="e">
        <f>N7</f>
        <v>#DIV/0!</v>
      </c>
      <c r="O18" s="218" t="e">
        <f t="shared" si="3"/>
        <v>#DIV/0!</v>
      </c>
      <c r="P18" s="218" t="e">
        <f t="shared" si="3"/>
        <v>#DIV/0!</v>
      </c>
      <c r="Q18" s="218" t="e">
        <f t="shared" si="3"/>
        <v>#DIV/0!</v>
      </c>
      <c r="R18" s="218" t="e">
        <f t="shared" si="3"/>
        <v>#DIV/0!</v>
      </c>
      <c r="S18" s="218" t="e">
        <f t="shared" si="3"/>
        <v>#DIV/0!</v>
      </c>
      <c r="T18" s="218" t="e">
        <f t="shared" si="3"/>
        <v>#DIV/0!</v>
      </c>
      <c r="U18" s="218" t="e">
        <f t="shared" si="3"/>
        <v>#DIV/0!</v>
      </c>
      <c r="V18" s="218" t="e">
        <f t="shared" si="3"/>
        <v>#DIV/0!</v>
      </c>
      <c r="W18" s="218" t="e">
        <f t="shared" si="3"/>
        <v>#DIV/0!</v>
      </c>
      <c r="X18" s="218" t="e">
        <f t="shared" si="3"/>
        <v>#DIV/0!</v>
      </c>
      <c r="Y18" s="218" t="e">
        <f t="shared" si="3"/>
        <v>#DIV/0!</v>
      </c>
      <c r="Z18" s="218" t="e">
        <f t="shared" si="3"/>
        <v>#DIV/0!</v>
      </c>
      <c r="AA18" s="219">
        <v>55.84</v>
      </c>
      <c r="AB18" s="219">
        <v>28.0855</v>
      </c>
      <c r="AC18" s="219">
        <v>58.693399999999997</v>
      </c>
      <c r="AD18" s="219">
        <v>63.545999999999999</v>
      </c>
      <c r="AE18" s="219">
        <v>65.38</v>
      </c>
      <c r="AF18" s="219">
        <v>12.01</v>
      </c>
      <c r="AG18" s="219">
        <v>30.973762000000001</v>
      </c>
      <c r="AH18" s="219">
        <v>32.064999999999998</v>
      </c>
      <c r="AI18" s="219">
        <v>14.0067</v>
      </c>
      <c r="AJ18" s="219">
        <v>10.81</v>
      </c>
      <c r="AK18" s="219">
        <v>54.938043999999998</v>
      </c>
      <c r="AL18" s="219">
        <v>26.981539999999999</v>
      </c>
      <c r="AM18" s="219">
        <v>51.996099999999998</v>
      </c>
      <c r="AN18" s="219">
        <v>95.95</v>
      </c>
      <c r="AO18" s="220">
        <v>47.866999999999997</v>
      </c>
      <c r="AP18" s="220">
        <v>50.941499999999998</v>
      </c>
      <c r="AQ18" s="220">
        <v>92.906369999999995</v>
      </c>
      <c r="AR18" s="220">
        <v>183.84</v>
      </c>
      <c r="AS18" s="220">
        <v>180.94788</v>
      </c>
      <c r="AT18" s="220">
        <v>91.224000000000004</v>
      </c>
      <c r="AU18" s="220">
        <v>58.933194999999998</v>
      </c>
      <c r="AV18" s="220">
        <v>24.305</v>
      </c>
      <c r="AW18" s="219">
        <v>121.76</v>
      </c>
      <c r="AX18" s="219">
        <v>207.2</v>
      </c>
      <c r="AY18" s="219">
        <v>118.71</v>
      </c>
    </row>
    <row r="19" spans="1:57" ht="21" x14ac:dyDescent="0.35">
      <c r="A19" s="89"/>
      <c r="B19" s="217" t="e">
        <f>100*((((B18)*(AA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C19" s="217" t="e">
        <f>100*((((C18)*(AB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D19" s="217" t="e">
        <f>100*((((D18)*(AC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E19" s="217" t="e">
        <f>100*((((E18)*(AD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F19" s="217" t="e">
        <f>100*((((F18)*(AE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G19" s="217" t="e">
        <f>100*((((G18)*(AF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H19" s="217" t="e">
        <f>100*((((H18)*(AG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I19" s="217" t="e">
        <f>100*((((I18)*(AH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J19" s="217" t="e">
        <f>100*((((J18)*(AI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K19" s="217" t="e">
        <f>100*((((K18)*(AJ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L19" s="217" t="e">
        <f>100*((((L18)*(AK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M19" s="217" t="e">
        <f>100*((((M18)*(AL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N19" s="217" t="e">
        <f>100*((((N18)*(AM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O19" s="217" t="e">
        <f>100*((((O18)*(AN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P19" s="217" t="e">
        <f>100*((((P18)*(AO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Q19" s="217" t="e">
        <f>100*((((Q18)*(AP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R19" s="217" t="e">
        <f>100*((((R18)*(AQ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S19" s="217" t="e">
        <f>100*((((S18)*(AR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T19" s="217" t="e">
        <f>100*((((T18)*(AS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U19" s="217" t="e">
        <f>100*((((U18)*(AT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V19" s="217" t="e">
        <f>100*((((V18)*(AU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W19" s="217" t="e">
        <f>100*((((W18)*(AV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X19" s="219" t="e">
        <f>100*((((X18)*(AW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Y19" s="219" t="e">
        <f>100*((((Y18)*(AX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Z19" s="219" t="e">
        <f>100*((((Z18)*(AY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</row>
    <row r="20" spans="1:57" ht="21" x14ac:dyDescent="0.35">
      <c r="A20" s="89"/>
      <c r="B20" s="89"/>
      <c r="C20" s="89"/>
      <c r="D20" s="89"/>
      <c r="E20" s="89" t="e">
        <f>E19/'opt 6'!G6</f>
        <v>#DIV/0!</v>
      </c>
      <c r="F20" s="89" t="e">
        <f>F19/'opt 6'!G6</f>
        <v>#DIV/0!</v>
      </c>
      <c r="G20" s="89" t="e">
        <f>G19/'opt 6'!G6</f>
        <v>#DIV/0!</v>
      </c>
      <c r="H20" s="89" t="e">
        <f>H19/'opt 6'!G6</f>
        <v>#DIV/0!</v>
      </c>
      <c r="I20" s="89" t="e">
        <f>I19/'opt 6'!G6</f>
        <v>#DIV/0!</v>
      </c>
      <c r="J20" s="89"/>
      <c r="K20" s="89"/>
      <c r="L20" s="89" t="e">
        <f>L19/'opt 6'!G6</f>
        <v>#DIV/0!</v>
      </c>
      <c r="M20" s="89" t="e">
        <f>M19/'opt 6'!G6</f>
        <v>#DIV/0!</v>
      </c>
      <c r="N20" s="89" t="e">
        <f>N19/'opt 6'!G6</f>
        <v>#DIV/0!</v>
      </c>
      <c r="O20" s="89" t="e">
        <f>O19/'opt 6'!G6</f>
        <v>#DIV/0!</v>
      </c>
      <c r="P20" s="89" t="e">
        <f>P19/'opt 6'!G6</f>
        <v>#DIV/0!</v>
      </c>
      <c r="Q20" s="89" t="e">
        <f>Q19/'opt 6'!G6</f>
        <v>#DIV/0!</v>
      </c>
      <c r="R20" s="89" t="e">
        <f>R19/'opt 6'!G6</f>
        <v>#DIV/0!</v>
      </c>
      <c r="S20" s="89" t="e">
        <f>S19/'opt 6'!G6</f>
        <v>#DIV/0!</v>
      </c>
      <c r="T20" s="89" t="e">
        <f>T19/'opt 6'!G6</f>
        <v>#DIV/0!</v>
      </c>
      <c r="U20" s="89" t="e">
        <f>U19/'opt 6'!G6</f>
        <v>#DIV/0!</v>
      </c>
      <c r="V20" s="89" t="e">
        <f>V19/'opt 6'!G6</f>
        <v>#DIV/0!</v>
      </c>
      <c r="W20" s="89" t="e">
        <f>W19/'opt 6'!G6</f>
        <v>#DIV/0!</v>
      </c>
      <c r="X20" s="89" t="e">
        <f>X19/'opt 6'!G6</f>
        <v>#DIV/0!</v>
      </c>
      <c r="Y20" s="89" t="e">
        <f>Y19/'opt 6'!G6</f>
        <v>#DIV/0!</v>
      </c>
      <c r="Z20" t="e">
        <f>Z19/'opt 6'!G6</f>
        <v>#DIV/0!</v>
      </c>
    </row>
    <row r="21" spans="1:57" ht="21" x14ac:dyDescent="0.3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</row>
    <row r="22" spans="1:57" ht="21" x14ac:dyDescent="0.3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</row>
    <row r="23" spans="1:57" ht="21" x14ac:dyDescent="0.35">
      <c r="A23" s="89">
        <f>'OK OK'!A30</f>
        <v>0</v>
      </c>
      <c r="B23" s="89" t="str">
        <f>'OK OK'!B30</f>
        <v>Fe</v>
      </c>
      <c r="C23" s="89" t="str">
        <f>'OK OK'!C30</f>
        <v>Si</v>
      </c>
      <c r="D23" s="89" t="str">
        <f>'OK OK'!D30</f>
        <v>Ni</v>
      </c>
      <c r="E23" s="89" t="str">
        <f>'OK OK'!E30</f>
        <v>Cu</v>
      </c>
      <c r="F23" s="89" t="str">
        <f>'OK OK'!F30</f>
        <v>Zn</v>
      </c>
      <c r="G23" s="89" t="str">
        <f>'OK OK'!G30</f>
        <v>C</v>
      </c>
      <c r="H23" s="89" t="str">
        <f>'OK OK'!H30</f>
        <v>P</v>
      </c>
      <c r="I23" s="89" t="str">
        <f>'OK OK'!I30</f>
        <v>S</v>
      </c>
      <c r="J23" s="89" t="str">
        <f>'OK OK'!J30</f>
        <v>N</v>
      </c>
      <c r="K23" s="89" t="str">
        <f>'OK OK'!K30</f>
        <v>B</v>
      </c>
      <c r="L23" s="89" t="str">
        <f>'OK OK'!L30</f>
        <v>Mn</v>
      </c>
      <c r="M23" s="89" t="str">
        <f>'OK OK'!M30</f>
        <v>Al</v>
      </c>
      <c r="N23" s="89" t="str">
        <f>'OK OK'!N30</f>
        <v>Cr</v>
      </c>
      <c r="O23" s="89" t="str">
        <f>'OK OK'!O30</f>
        <v>Mo</v>
      </c>
      <c r="P23" s="89" t="str">
        <f>'OK OK'!P30</f>
        <v>Ti</v>
      </c>
      <c r="Q23" s="89" t="str">
        <f>'OK OK'!Q30</f>
        <v>V</v>
      </c>
      <c r="R23" s="89" t="str">
        <f>'OK OK'!R30</f>
        <v>Nb</v>
      </c>
      <c r="S23" s="89" t="str">
        <f>'OK OK'!S30</f>
        <v>W</v>
      </c>
      <c r="T23" s="89" t="str">
        <f>'OK OK'!T30</f>
        <v>Ta</v>
      </c>
      <c r="U23" s="89" t="str">
        <f>'OK OK'!U30</f>
        <v>Zr</v>
      </c>
      <c r="V23" s="89" t="str">
        <f>'OK OK'!V30</f>
        <v>Co</v>
      </c>
      <c r="W23" s="89" t="str">
        <f>'OK OK'!W30</f>
        <v>Mg</v>
      </c>
      <c r="X23" s="89" t="str">
        <f>'OK OK'!X30</f>
        <v>Sb</v>
      </c>
      <c r="Y23" s="89" t="str">
        <f>'OK OK'!Y30</f>
        <v>Pb</v>
      </c>
      <c r="Z23" t="str">
        <f>'OK OK'!Z30</f>
        <v>Sn</v>
      </c>
      <c r="AA23" t="s">
        <v>14</v>
      </c>
      <c r="AB23" t="s">
        <v>56</v>
      </c>
      <c r="AC23" t="s">
        <v>15</v>
      </c>
      <c r="AD23" t="s">
        <v>8</v>
      </c>
      <c r="AE23" t="s">
        <v>9</v>
      </c>
      <c r="AF23" t="s">
        <v>57</v>
      </c>
      <c r="AG23" t="s">
        <v>58</v>
      </c>
      <c r="AH23" t="s">
        <v>77</v>
      </c>
      <c r="AI23" t="s">
        <v>204</v>
      </c>
      <c r="AJ23" t="s">
        <v>16</v>
      </c>
      <c r="AK23" t="s">
        <v>55</v>
      </c>
      <c r="AL23" t="s">
        <v>44</v>
      </c>
      <c r="AM23" t="s">
        <v>43</v>
      </c>
      <c r="AN23" t="s">
        <v>12</v>
      </c>
      <c r="AO23" t="s">
        <v>80</v>
      </c>
      <c r="AP23" t="s">
        <v>81</v>
      </c>
      <c r="AQ23" t="s">
        <v>82</v>
      </c>
      <c r="AR23" t="s">
        <v>83</v>
      </c>
      <c r="AS23" t="s">
        <v>45</v>
      </c>
      <c r="AT23" t="s">
        <v>17</v>
      </c>
      <c r="AU23" t="s">
        <v>13</v>
      </c>
      <c r="AV23" t="s">
        <v>0</v>
      </c>
      <c r="AW23" t="s">
        <v>11</v>
      </c>
      <c r="AX23" t="s">
        <v>10</v>
      </c>
      <c r="AY23" t="s">
        <v>46</v>
      </c>
      <c r="AZ23">
        <f>'OK OK'!AZ30</f>
        <v>0</v>
      </c>
      <c r="BA23">
        <f>'OK OK'!BA30</f>
        <v>0</v>
      </c>
      <c r="BB23">
        <f>'OK OK'!BB30</f>
        <v>0</v>
      </c>
      <c r="BC23">
        <f>'OK OK'!BC30</f>
        <v>0</v>
      </c>
      <c r="BD23">
        <f>'OK OK'!BD30</f>
        <v>0</v>
      </c>
      <c r="BE23">
        <f>'OK OK'!BE30</f>
        <v>0</v>
      </c>
    </row>
    <row r="24" spans="1:57" ht="21" x14ac:dyDescent="0.35">
      <c r="A24" s="89">
        <f>'OK OK'!A31</f>
        <v>0</v>
      </c>
      <c r="B24" s="89">
        <f>'OK OK'!B31</f>
        <v>93.598807806106706</v>
      </c>
      <c r="C24" s="89">
        <f>'OK OK'!C31</f>
        <v>0.8717917293387516</v>
      </c>
      <c r="D24" s="89">
        <f>'OK OK'!D31</f>
        <v>1.4575042833282961</v>
      </c>
      <c r="E24" s="89">
        <f>'OK OK'!E31</f>
        <v>0</v>
      </c>
      <c r="F24" s="89">
        <f>'OK OK'!F31</f>
        <v>0</v>
      </c>
      <c r="G24" s="89">
        <f>'OK OK'!G31</f>
        <v>0.81481738515196134</v>
      </c>
      <c r="H24" s="89">
        <f>'OK OK'!H31</f>
        <v>5.0064370348226889E-3</v>
      </c>
      <c r="I24" s="89">
        <f>'OK OK'!I31</f>
        <v>1.0012874069645378E-3</v>
      </c>
      <c r="J24" s="89">
        <f>'OK OK'!J31</f>
        <v>1.0012874069645376E-3</v>
      </c>
      <c r="K24" s="89">
        <f>'OK OK'!K31</f>
        <v>1.5019311104468066E-3</v>
      </c>
      <c r="L24" s="89">
        <f>'OK OK'!L31</f>
        <v>1.7053117226059147</v>
      </c>
      <c r="M24" s="89">
        <f>'OK OK'!M31</f>
        <v>1.0012874069645376E-3</v>
      </c>
      <c r="N24" s="89">
        <f>'OK OK'!N31</f>
        <v>1.2911935322602954</v>
      </c>
      <c r="O24" s="89">
        <f>'OK OK'!O31</f>
        <v>0.19835803294374477</v>
      </c>
      <c r="P24" s="89">
        <f>'OK OK'!P31</f>
        <v>0</v>
      </c>
      <c r="Q24" s="89">
        <f>'OK OK'!Q31</f>
        <v>5.2703277898170461E-2</v>
      </c>
      <c r="R24" s="89">
        <f>'OK OK'!R31</f>
        <v>0</v>
      </c>
      <c r="S24" s="89">
        <f>'OK OK'!S31</f>
        <v>0</v>
      </c>
      <c r="T24" s="89">
        <f>'OK OK'!T31</f>
        <v>0</v>
      </c>
      <c r="U24" s="89">
        <f>'OK OK'!U31</f>
        <v>0</v>
      </c>
      <c r="V24" s="89">
        <f>'OK OK'!V31</f>
        <v>0</v>
      </c>
      <c r="W24" s="89">
        <f>'OK OK'!W31</f>
        <v>0</v>
      </c>
      <c r="X24" s="89">
        <f>'OK OK'!X31</f>
        <v>0</v>
      </c>
      <c r="Y24" s="89">
        <f>'OK OK'!Y31</f>
        <v>0</v>
      </c>
      <c r="Z24">
        <f>'OK OK'!Z31</f>
        <v>0</v>
      </c>
      <c r="AA24">
        <v>55.84</v>
      </c>
      <c r="AB24">
        <v>12.01</v>
      </c>
      <c r="AC24">
        <v>28.0855</v>
      </c>
      <c r="AD24">
        <v>58.693399999999997</v>
      </c>
      <c r="AE24">
        <v>63.545999999999999</v>
      </c>
      <c r="AF24">
        <v>30.973762000000001</v>
      </c>
      <c r="AG24">
        <v>32.064999999999998</v>
      </c>
      <c r="AH24">
        <v>14.0067</v>
      </c>
      <c r="AI24">
        <v>10.81</v>
      </c>
      <c r="AJ24">
        <v>54.938043999999998</v>
      </c>
      <c r="AK24">
        <v>95.95</v>
      </c>
      <c r="AL24">
        <v>51.996099999999998</v>
      </c>
      <c r="AM24">
        <v>58.933194999999998</v>
      </c>
      <c r="AN24">
        <v>26.981539999999999</v>
      </c>
      <c r="AO24">
        <v>50.941499999999998</v>
      </c>
      <c r="AP24">
        <v>92.906369999999995</v>
      </c>
      <c r="AQ24">
        <v>183.84</v>
      </c>
      <c r="AR24">
        <v>180.94788</v>
      </c>
      <c r="AS24">
        <v>91.224000000000004</v>
      </c>
      <c r="AT24">
        <v>47.866999999999997</v>
      </c>
      <c r="AU24">
        <v>24.305</v>
      </c>
      <c r="AV24">
        <v>121.76</v>
      </c>
      <c r="AW24">
        <v>207.2</v>
      </c>
      <c r="AX24">
        <v>118.71</v>
      </c>
      <c r="AY24">
        <v>208.9804</v>
      </c>
      <c r="AZ24">
        <f>'OK OK'!AZ31</f>
        <v>0</v>
      </c>
      <c r="BA24">
        <f>'OK OK'!BA31</f>
        <v>0</v>
      </c>
      <c r="BB24">
        <f>'OK OK'!BB31</f>
        <v>0</v>
      </c>
      <c r="BC24">
        <f>'OK OK'!BC31</f>
        <v>0</v>
      </c>
      <c r="BD24">
        <f>'OK OK'!BD31</f>
        <v>0</v>
      </c>
      <c r="BE24">
        <f>'OK OK'!BE31</f>
        <v>0</v>
      </c>
    </row>
    <row r="25" spans="1:57" ht="21" x14ac:dyDescent="0.35">
      <c r="A25" s="89">
        <f>'OK OK'!A32</f>
        <v>0</v>
      </c>
      <c r="B25" s="89">
        <f>'OK OK'!B32</f>
        <v>90.15056542291434</v>
      </c>
      <c r="C25" s="89">
        <f>'OK OK'!C32</f>
        <v>1.6694527511337363</v>
      </c>
      <c r="D25" s="89">
        <f>'OK OK'!D32</f>
        <v>1.3355622009069887</v>
      </c>
      <c r="E25" s="89">
        <f>'OK OK'!E32</f>
        <v>0</v>
      </c>
      <c r="F25" s="89">
        <f>'OK OK'!F32</f>
        <v>0</v>
      </c>
      <c r="G25" s="89">
        <f>'OK OK'!G32</f>
        <v>3.648890466423707</v>
      </c>
      <c r="H25" s="89">
        <f>'OK OK'!H32</f>
        <v>8.6931735324620833E-3</v>
      </c>
      <c r="I25" s="89">
        <f>'OK OK'!I32</f>
        <v>1.6794653860544514E-3</v>
      </c>
      <c r="J25" s="89">
        <f>'OK OK'!J32</f>
        <v>3.8447355625404957E-3</v>
      </c>
      <c r="K25" s="89">
        <f>'OK OK'!K32</f>
        <v>7.472533432539682E-3</v>
      </c>
      <c r="L25" s="89">
        <f>'OK OK'!L32</f>
        <v>1.6694527511337358</v>
      </c>
      <c r="M25" s="89">
        <f>'OK OK'!M32</f>
        <v>1.9958852461288705E-3</v>
      </c>
      <c r="N25" s="89">
        <f>'OK OK'!N32</f>
        <v>1.3355622009069887</v>
      </c>
      <c r="O25" s="89">
        <f>'OK OK'!O32</f>
        <v>0.11118555322550683</v>
      </c>
      <c r="P25" s="89">
        <f>'OK OK'!P32</f>
        <v>0</v>
      </c>
      <c r="Q25" s="89">
        <f>'OK OK'!Q32</f>
        <v>5.5642860195287427E-2</v>
      </c>
      <c r="R25" s="89">
        <f>'OK OK'!R32</f>
        <v>0</v>
      </c>
      <c r="S25" s="89">
        <f>'OK OK'!S32</f>
        <v>0</v>
      </c>
      <c r="T25" s="89">
        <f>'OK OK'!T32</f>
        <v>0</v>
      </c>
      <c r="U25" s="89">
        <f>'OK OK'!U32</f>
        <v>0</v>
      </c>
      <c r="V25" s="89">
        <f>'OK OK'!V32</f>
        <v>0</v>
      </c>
      <c r="W25" s="89">
        <f>'OK OK'!W32</f>
        <v>0</v>
      </c>
      <c r="X25" s="89">
        <f>'OK OK'!X32</f>
        <v>0</v>
      </c>
      <c r="Y25" s="89">
        <f>'OK OK'!Y32</f>
        <v>0</v>
      </c>
      <c r="Z25">
        <f>'OK OK'!Z32</f>
        <v>0</v>
      </c>
      <c r="AA25">
        <f>'OK OK'!AA32</f>
        <v>0</v>
      </c>
      <c r="AB25">
        <f>'OK OK'!AB32</f>
        <v>0</v>
      </c>
      <c r="AC25">
        <f>'OK OK'!AC32</f>
        <v>0</v>
      </c>
      <c r="AD25">
        <f>'OK OK'!AD32</f>
        <v>0</v>
      </c>
      <c r="AE25">
        <f>'OK OK'!AE32</f>
        <v>0</v>
      </c>
      <c r="AF25">
        <f>'OK OK'!AF32</f>
        <v>0</v>
      </c>
      <c r="AG25">
        <f>'OK OK'!AG32</f>
        <v>0</v>
      </c>
      <c r="AH25">
        <f>'OK OK'!AH32</f>
        <v>0</v>
      </c>
      <c r="AI25">
        <f>'OK OK'!AI32</f>
        <v>0</v>
      </c>
      <c r="AJ25">
        <f>'OK OK'!AJ32</f>
        <v>0</v>
      </c>
      <c r="AK25">
        <f>'OK OK'!AK32</f>
        <v>0</v>
      </c>
      <c r="AL25">
        <f>'OK OK'!AL32</f>
        <v>0</v>
      </c>
      <c r="AM25">
        <f>'OK OK'!AM32</f>
        <v>0</v>
      </c>
      <c r="AN25">
        <f>'OK OK'!AN32</f>
        <v>0</v>
      </c>
      <c r="AO25">
        <f>'OK OK'!AO32</f>
        <v>0</v>
      </c>
      <c r="AP25">
        <f>'OK OK'!AP32</f>
        <v>0</v>
      </c>
      <c r="AQ25">
        <f>'OK OK'!AQ32</f>
        <v>0</v>
      </c>
      <c r="AR25">
        <f>'OK OK'!AR32</f>
        <v>0</v>
      </c>
      <c r="AS25">
        <f>'OK OK'!AS32</f>
        <v>0</v>
      </c>
      <c r="AT25">
        <f>'OK OK'!AT32</f>
        <v>0</v>
      </c>
      <c r="AU25">
        <f>'OK OK'!AU32</f>
        <v>0</v>
      </c>
      <c r="AV25">
        <f>'OK OK'!AV32</f>
        <v>0</v>
      </c>
      <c r="AW25">
        <f>'OK OK'!AW32</f>
        <v>0</v>
      </c>
      <c r="AX25">
        <f>'OK OK'!AX32</f>
        <v>0</v>
      </c>
      <c r="AY25">
        <f>'OK OK'!AY32</f>
        <v>0</v>
      </c>
      <c r="AZ25">
        <f>'OK OK'!AZ32</f>
        <v>0</v>
      </c>
      <c r="BA25">
        <f>'OK OK'!BA32</f>
        <v>0</v>
      </c>
      <c r="BB25">
        <f>'OK OK'!BB32</f>
        <v>0</v>
      </c>
      <c r="BC25">
        <f>'OK OK'!BC32</f>
        <v>0</v>
      </c>
      <c r="BD25">
        <f>'OK OK'!BD32</f>
        <v>0</v>
      </c>
      <c r="BE25">
        <f>'OK OK'!BE32</f>
        <v>0</v>
      </c>
    </row>
    <row r="26" spans="1:57" ht="21" x14ac:dyDescent="0.35">
      <c r="A26" s="89">
        <f>'OK OK'!A33</f>
        <v>58.99811311674307</v>
      </c>
      <c r="B26" s="89">
        <f>'OK OK'!B33</f>
        <v>540.00188688325693</v>
      </c>
      <c r="C26" s="89">
        <f>'OK OK'!C33</f>
        <v>10.00002197929108</v>
      </c>
      <c r="D26" s="89">
        <f>'OK OK'!D33</f>
        <v>8.0000175834328626</v>
      </c>
      <c r="E26" s="89">
        <f>'OK OK'!E33</f>
        <v>0</v>
      </c>
      <c r="F26" s="89">
        <f>'OK OK'!F33</f>
        <v>0</v>
      </c>
      <c r="G26" s="89">
        <f>'OK OK'!G33</f>
        <v>21.856853893878007</v>
      </c>
      <c r="H26" s="89">
        <f>'OK OK'!H33</f>
        <v>5.2072109459447881E-2</v>
      </c>
      <c r="I26" s="89">
        <f>'OK OK'!I33</f>
        <v>1.0059997662466165E-2</v>
      </c>
      <c r="J26" s="89">
        <f>'OK OK'!J33</f>
        <v>2.3029966019617567E-2</v>
      </c>
      <c r="K26" s="89">
        <f>'OK OK'!K33</f>
        <v>4.4760475260912695E-2</v>
      </c>
      <c r="L26" s="89">
        <f>'OK OK'!L33</f>
        <v>10.000021979291077</v>
      </c>
      <c r="M26" s="89">
        <f>'OK OK'!M33</f>
        <v>1.1955352624311934E-2</v>
      </c>
      <c r="N26" s="89">
        <f>'OK OK'!N33</f>
        <v>8.0000175834328626</v>
      </c>
      <c r="O26" s="89">
        <f>'OK OK'!O33</f>
        <v>0.66600146382078595</v>
      </c>
      <c r="P26" s="89">
        <f>'OK OK'!P33</f>
        <v>0</v>
      </c>
      <c r="Q26" s="89">
        <f>'OK OK'!Q33</f>
        <v>0.33330073256977172</v>
      </c>
      <c r="R26" s="89">
        <f>'OK OK'!R33</f>
        <v>0</v>
      </c>
      <c r="S26" s="89">
        <f>'OK OK'!S33</f>
        <v>0</v>
      </c>
      <c r="T26" s="89">
        <f>'OK OK'!T33</f>
        <v>0</v>
      </c>
      <c r="U26" s="89">
        <f>'OK OK'!U33</f>
        <v>0</v>
      </c>
      <c r="V26" s="89">
        <f>'OK OK'!V33</f>
        <v>0</v>
      </c>
      <c r="W26" s="89">
        <f>'OK OK'!W33</f>
        <v>0</v>
      </c>
      <c r="X26" s="89">
        <f>'OK OK'!X33</f>
        <v>0</v>
      </c>
      <c r="Y26" s="89">
        <f>'OK OK'!Y33</f>
        <v>0</v>
      </c>
      <c r="Z26">
        <f>'OK OK'!Z33</f>
        <v>0</v>
      </c>
      <c r="AA26">
        <f>'OK OK'!AA33</f>
        <v>0</v>
      </c>
      <c r="AB26">
        <f>'OK OK'!AB33</f>
        <v>0</v>
      </c>
      <c r="AC26">
        <f>'OK OK'!AC33</f>
        <v>0</v>
      </c>
      <c r="AD26">
        <f>'OK OK'!AD33</f>
        <v>0</v>
      </c>
      <c r="AE26">
        <f>'OK OK'!AE33</f>
        <v>0</v>
      </c>
      <c r="AF26">
        <f>'OK OK'!AF33</f>
        <v>0</v>
      </c>
      <c r="AG26">
        <f>'OK OK'!AG33</f>
        <v>0</v>
      </c>
      <c r="AH26">
        <f>'OK OK'!AH33</f>
        <v>0</v>
      </c>
      <c r="AI26">
        <f>'OK OK'!AI33</f>
        <v>0</v>
      </c>
      <c r="AJ26">
        <f>'OK OK'!AJ33</f>
        <v>0</v>
      </c>
      <c r="AK26">
        <f>'OK OK'!AK33</f>
        <v>0</v>
      </c>
      <c r="AL26">
        <f>'OK OK'!AL33</f>
        <v>0</v>
      </c>
      <c r="AM26">
        <f>'OK OK'!AM33</f>
        <v>0</v>
      </c>
      <c r="AN26">
        <f>'OK OK'!AN33</f>
        <v>0</v>
      </c>
      <c r="AO26">
        <f>'OK OK'!AO33</f>
        <v>0</v>
      </c>
      <c r="AP26">
        <f>'OK OK'!AP33</f>
        <v>0</v>
      </c>
      <c r="AQ26">
        <f>'OK OK'!AQ33</f>
        <v>0</v>
      </c>
      <c r="AR26">
        <f>'OK OK'!AR33</f>
        <v>0</v>
      </c>
      <c r="AS26">
        <f>'OK OK'!AS33</f>
        <v>0</v>
      </c>
      <c r="AT26">
        <f>'OK OK'!AT33</f>
        <v>0</v>
      </c>
      <c r="AU26">
        <f>'OK OK'!AU33</f>
        <v>0</v>
      </c>
      <c r="AV26">
        <f>'OK OK'!AV33</f>
        <v>0</v>
      </c>
      <c r="AW26">
        <f>'OK OK'!AW33</f>
        <v>0</v>
      </c>
      <c r="AX26">
        <f>'OK OK'!AX33</f>
        <v>0</v>
      </c>
      <c r="AY26">
        <f>'OK OK'!AY33</f>
        <v>0</v>
      </c>
      <c r="AZ26">
        <f>'OK OK'!AZ33</f>
        <v>0</v>
      </c>
      <c r="BA26">
        <f>'OK OK'!BA33</f>
        <v>0</v>
      </c>
      <c r="BB26">
        <f>'OK OK'!BB33</f>
        <v>0</v>
      </c>
      <c r="BC26">
        <f>'OK OK'!BC33</f>
        <v>0</v>
      </c>
      <c r="BD26">
        <f>'OK OK'!BD33</f>
        <v>0</v>
      </c>
      <c r="BE26">
        <f>'OK OK'!BE33</f>
        <v>0</v>
      </c>
    </row>
    <row r="27" spans="1:57" ht="21" x14ac:dyDescent="0.35">
      <c r="A27" s="89">
        <f>'OK OK'!A34</f>
        <v>0</v>
      </c>
      <c r="B27" s="89">
        <f>'OK OK'!B34</f>
        <v>0</v>
      </c>
      <c r="C27" s="89">
        <f>'OK OK'!C34</f>
        <v>0</v>
      </c>
      <c r="D27" s="89">
        <f>'OK OK'!D34</f>
        <v>0</v>
      </c>
      <c r="E27" s="89">
        <f>'OK OK'!E34</f>
        <v>0</v>
      </c>
      <c r="F27" s="89">
        <f>'OK OK'!F34</f>
        <v>0</v>
      </c>
      <c r="G27" s="89">
        <f>'OK OK'!G34</f>
        <v>0</v>
      </c>
      <c r="H27" s="89">
        <f>'OK OK'!H34</f>
        <v>0</v>
      </c>
      <c r="I27" s="89">
        <f>'OK OK'!I34</f>
        <v>0</v>
      </c>
      <c r="J27" s="89">
        <f>'OK OK'!J34</f>
        <v>0</v>
      </c>
      <c r="K27" s="89">
        <f>'OK OK'!K34</f>
        <v>0</v>
      </c>
      <c r="L27" s="89">
        <f>'OK OK'!L34</f>
        <v>0</v>
      </c>
      <c r="M27" s="89">
        <f>'OK OK'!M34</f>
        <v>0</v>
      </c>
      <c r="N27" s="89">
        <f>'OK OK'!N34</f>
        <v>0</v>
      </c>
      <c r="O27" s="89">
        <f>'OK OK'!O34</f>
        <v>0</v>
      </c>
      <c r="P27" s="89">
        <f>'OK OK'!P34</f>
        <v>0</v>
      </c>
      <c r="Q27" s="89">
        <f>'OK OK'!Q34</f>
        <v>0</v>
      </c>
      <c r="R27" s="89">
        <f>'OK OK'!R34</f>
        <v>0</v>
      </c>
      <c r="S27" s="89">
        <f>'OK OK'!S34</f>
        <v>0</v>
      </c>
      <c r="T27" s="89">
        <f>'OK OK'!T34</f>
        <v>0</v>
      </c>
      <c r="U27" s="89">
        <f>'OK OK'!U34</f>
        <v>0</v>
      </c>
      <c r="V27" s="89">
        <f>'OK OK'!V34</f>
        <v>0</v>
      </c>
      <c r="W27" s="89">
        <f>'OK OK'!W34</f>
        <v>0</v>
      </c>
      <c r="X27" s="89">
        <f>'OK OK'!X34</f>
        <v>0</v>
      </c>
      <c r="Y27" s="89">
        <f>'OK OK'!Y34</f>
        <v>0</v>
      </c>
      <c r="Z27">
        <f>'OK OK'!Z34</f>
        <v>0</v>
      </c>
      <c r="AA27">
        <f>'OK OK'!AA34</f>
        <v>0</v>
      </c>
      <c r="AB27">
        <f>'OK OK'!AB34</f>
        <v>0</v>
      </c>
      <c r="AC27">
        <f>'OK OK'!AC34</f>
        <v>0</v>
      </c>
      <c r="AD27">
        <f>'OK OK'!AD34</f>
        <v>0</v>
      </c>
      <c r="AE27">
        <f>'OK OK'!AE34</f>
        <v>0</v>
      </c>
      <c r="AF27">
        <f>'OK OK'!AF34</f>
        <v>0</v>
      </c>
      <c r="AG27">
        <f>'OK OK'!AG34</f>
        <v>0</v>
      </c>
      <c r="AH27">
        <f>'OK OK'!AH34</f>
        <v>0</v>
      </c>
      <c r="AI27">
        <f>'OK OK'!AI34</f>
        <v>0</v>
      </c>
      <c r="AJ27">
        <f>'OK OK'!AJ34</f>
        <v>0</v>
      </c>
      <c r="AK27">
        <f>'OK OK'!AK34</f>
        <v>0</v>
      </c>
      <c r="AL27">
        <f>'OK OK'!AL34</f>
        <v>0</v>
      </c>
      <c r="AM27">
        <f>'OK OK'!AM34</f>
        <v>0</v>
      </c>
      <c r="AN27">
        <f>'OK OK'!AN34</f>
        <v>0</v>
      </c>
      <c r="AO27">
        <f>'OK OK'!AO34</f>
        <v>0</v>
      </c>
      <c r="AP27">
        <f>'OK OK'!AP34</f>
        <v>0</v>
      </c>
      <c r="AQ27">
        <f>'OK OK'!AQ34</f>
        <v>0</v>
      </c>
      <c r="AR27">
        <f>'OK OK'!AR34</f>
        <v>0</v>
      </c>
      <c r="AS27">
        <f>'OK OK'!AS34</f>
        <v>0</v>
      </c>
      <c r="AT27">
        <f>'OK OK'!AT34</f>
        <v>0</v>
      </c>
      <c r="AU27">
        <f>'OK OK'!AU34</f>
        <v>0</v>
      </c>
      <c r="AV27">
        <f>'OK OK'!AV34</f>
        <v>0</v>
      </c>
      <c r="AW27">
        <f>'OK OK'!AW34</f>
        <v>0</v>
      </c>
      <c r="AX27">
        <f>'OK OK'!AX34</f>
        <v>0</v>
      </c>
      <c r="AY27">
        <f>'OK OK'!AY34</f>
        <v>0</v>
      </c>
      <c r="AZ27">
        <f>'OK OK'!AZ34</f>
        <v>0</v>
      </c>
      <c r="BA27">
        <f>'OK OK'!BA34</f>
        <v>0</v>
      </c>
      <c r="BB27">
        <f>'OK OK'!BB34</f>
        <v>0</v>
      </c>
      <c r="BC27">
        <f>'OK OK'!BC34</f>
        <v>0</v>
      </c>
      <c r="BD27">
        <f>'OK OK'!BD34</f>
        <v>0</v>
      </c>
      <c r="BE27">
        <f>'OK OK'!BE34</f>
        <v>0</v>
      </c>
    </row>
    <row r="28" spans="1:57" ht="21" x14ac:dyDescent="0.35">
      <c r="A28" s="89">
        <f>'OK OK'!A35</f>
        <v>0</v>
      </c>
      <c r="B28" s="89" t="str">
        <f>'OK OK'!B35</f>
        <v>CCuNi</v>
      </c>
      <c r="C28" s="89">
        <f>'OK OK'!C35</f>
        <v>39.9868160050044</v>
      </c>
      <c r="D28" s="89">
        <f>'OK OK'!D35</f>
        <v>0</v>
      </c>
      <c r="E28" s="89">
        <f>'OK OK'!E35</f>
        <v>0</v>
      </c>
      <c r="F28" s="89">
        <f>'OK OK'!F35</f>
        <v>0</v>
      </c>
      <c r="G28" s="89">
        <f>'OK OK'!G35</f>
        <v>94</v>
      </c>
      <c r="H28" s="89">
        <f>'OK OK'!H35</f>
        <v>0</v>
      </c>
      <c r="I28" s="89">
        <f>'OK OK'!I35</f>
        <v>0</v>
      </c>
      <c r="J28" s="89">
        <f>'OK OK'!J35</f>
        <v>0</v>
      </c>
      <c r="K28" s="89">
        <f>'OK OK'!K35</f>
        <v>0</v>
      </c>
      <c r="L28" s="89">
        <f>'OK OK'!L35</f>
        <v>0</v>
      </c>
      <c r="M28" s="89">
        <f>'OK OK'!M35</f>
        <v>0</v>
      </c>
      <c r="N28" s="89">
        <f>'OK OK'!N35</f>
        <v>0</v>
      </c>
      <c r="O28" s="89">
        <f>'OK OK'!O35</f>
        <v>0</v>
      </c>
      <c r="P28" s="89">
        <f>'OK OK'!P35</f>
        <v>0</v>
      </c>
      <c r="Q28" s="89">
        <f>'OK OK'!Q35</f>
        <v>0</v>
      </c>
      <c r="R28" s="89">
        <f>'OK OK'!R35</f>
        <v>0</v>
      </c>
      <c r="S28" s="89">
        <f>'OK OK'!S35</f>
        <v>0</v>
      </c>
      <c r="T28" s="89">
        <f>'OK OK'!T35</f>
        <v>0</v>
      </c>
      <c r="U28" s="89">
        <f>'OK OK'!U35</f>
        <v>0</v>
      </c>
      <c r="V28" s="89">
        <f>'OK OK'!V35</f>
        <v>0</v>
      </c>
      <c r="W28" s="89">
        <f>'OK OK'!W35</f>
        <v>0</v>
      </c>
      <c r="X28" s="89">
        <f>'OK OK'!X35</f>
        <v>0</v>
      </c>
      <c r="Y28" s="89">
        <f>'OK OK'!Y35</f>
        <v>0</v>
      </c>
      <c r="Z28">
        <f>'OK OK'!Z35</f>
        <v>0</v>
      </c>
      <c r="AA28">
        <f>'OK OK'!AA35</f>
        <v>0</v>
      </c>
      <c r="AB28">
        <f>'OK OK'!AB35</f>
        <v>0</v>
      </c>
      <c r="AC28">
        <f>'OK OK'!AC35</f>
        <v>0</v>
      </c>
      <c r="AD28">
        <f>'OK OK'!AD35</f>
        <v>0</v>
      </c>
      <c r="AE28">
        <f>'OK OK'!AE35</f>
        <v>0</v>
      </c>
      <c r="AF28">
        <f>'OK OK'!AF35</f>
        <v>0</v>
      </c>
      <c r="AG28">
        <f>'OK OK'!AG35</f>
        <v>0</v>
      </c>
      <c r="AH28">
        <f>'OK OK'!AH35</f>
        <v>0</v>
      </c>
      <c r="AI28">
        <f>'OK OK'!AI35</f>
        <v>0</v>
      </c>
      <c r="AJ28">
        <f>'OK OK'!AJ35</f>
        <v>0</v>
      </c>
      <c r="AK28">
        <f>'OK OK'!AK35</f>
        <v>0</v>
      </c>
      <c r="AL28">
        <f>'OK OK'!AL35</f>
        <v>0</v>
      </c>
      <c r="AM28">
        <f>'OK OK'!AM35</f>
        <v>0</v>
      </c>
      <c r="AN28">
        <f>'OK OK'!AN35</f>
        <v>0</v>
      </c>
      <c r="AO28">
        <f>'OK OK'!AO35</f>
        <v>0</v>
      </c>
      <c r="AP28">
        <f>'OK OK'!AP35</f>
        <v>0</v>
      </c>
      <c r="AQ28">
        <f>'OK OK'!AQ35</f>
        <v>0</v>
      </c>
      <c r="AR28">
        <f>'OK OK'!AR35</f>
        <v>0</v>
      </c>
      <c r="AS28">
        <f>'OK OK'!AS35</f>
        <v>0</v>
      </c>
      <c r="AT28">
        <f>'OK OK'!AT35</f>
        <v>0</v>
      </c>
      <c r="AU28">
        <f>'OK OK'!AU35</f>
        <v>0</v>
      </c>
      <c r="AV28">
        <f>'OK OK'!AV35</f>
        <v>0</v>
      </c>
      <c r="AW28">
        <f>'OK OK'!AW35</f>
        <v>0</v>
      </c>
      <c r="AX28">
        <f>'OK OK'!AX35</f>
        <v>0</v>
      </c>
      <c r="AY28">
        <f>'OK OK'!AY35</f>
        <v>0</v>
      </c>
      <c r="AZ28">
        <f>'OK OK'!AZ35</f>
        <v>0</v>
      </c>
      <c r="BA28">
        <f>'OK OK'!BA35</f>
        <v>0</v>
      </c>
      <c r="BB28">
        <f>'OK OK'!BB35</f>
        <v>0</v>
      </c>
      <c r="BC28">
        <f>'OK OK'!BC35</f>
        <v>0</v>
      </c>
      <c r="BD28">
        <f>'OK OK'!BD35</f>
        <v>0</v>
      </c>
      <c r="BE28">
        <f>'OK OK'!BE35</f>
        <v>0</v>
      </c>
    </row>
    <row r="29" spans="1:57" ht="21" x14ac:dyDescent="0.35">
      <c r="A29" s="89">
        <f>'OK OK'!A36</f>
        <v>0</v>
      </c>
      <c r="B29" s="89" t="str">
        <f>'OK OK'!B36</f>
        <v>Mn+Mg</v>
      </c>
      <c r="C29" s="89">
        <f>'OK OK'!C36</f>
        <v>19.056057586999724</v>
      </c>
      <c r="D29" s="89">
        <f>'OK OK'!D36</f>
        <v>0</v>
      </c>
      <c r="E29" s="89">
        <f>'OK OK'!E36</f>
        <v>0</v>
      </c>
      <c r="F29" s="89">
        <f>'OK OK'!F36</f>
        <v>0</v>
      </c>
      <c r="G29" s="89">
        <f>'OK OK'!G36</f>
        <v>0.5</v>
      </c>
      <c r="H29" s="89">
        <f>'OK OK'!H36</f>
        <v>0</v>
      </c>
      <c r="I29" s="89">
        <f>'OK OK'!I36</f>
        <v>0</v>
      </c>
      <c r="J29" s="89">
        <f>'OK OK'!J36</f>
        <v>0</v>
      </c>
      <c r="K29" s="89">
        <f>'OK OK'!K36</f>
        <v>0</v>
      </c>
      <c r="L29" s="89">
        <f>'OK OK'!L36</f>
        <v>0</v>
      </c>
      <c r="M29" s="89">
        <f>'OK OK'!M36</f>
        <v>0</v>
      </c>
      <c r="N29" s="89">
        <f>'OK OK'!N36</f>
        <v>0</v>
      </c>
      <c r="O29" s="89">
        <f>'OK OK'!O36</f>
        <v>0</v>
      </c>
      <c r="P29" s="89">
        <f>'OK OK'!P36</f>
        <v>0</v>
      </c>
      <c r="Q29" s="89">
        <f>'OK OK'!Q36</f>
        <v>0</v>
      </c>
      <c r="R29" s="89">
        <f>'OK OK'!R36</f>
        <v>0</v>
      </c>
      <c r="S29" s="89">
        <f>'OK OK'!S36</f>
        <v>0</v>
      </c>
      <c r="T29" s="89">
        <f>'OK OK'!T36</f>
        <v>0</v>
      </c>
      <c r="U29" s="89">
        <f>'OK OK'!U36</f>
        <v>0</v>
      </c>
      <c r="V29" s="89">
        <f>'OK OK'!V36</f>
        <v>0</v>
      </c>
      <c r="W29" s="89">
        <f>'OK OK'!W36</f>
        <v>0</v>
      </c>
      <c r="X29" s="89">
        <f>'OK OK'!X36</f>
        <v>0</v>
      </c>
      <c r="Y29" s="89">
        <f>'OK OK'!Y36</f>
        <v>0</v>
      </c>
      <c r="Z29">
        <f>'OK OK'!Z36</f>
        <v>0</v>
      </c>
      <c r="AA29">
        <f>'OK OK'!AA36</f>
        <v>0</v>
      </c>
      <c r="AB29">
        <f>'OK OK'!AB36</f>
        <v>0</v>
      </c>
      <c r="AC29">
        <f>'OK OK'!AC36</f>
        <v>0</v>
      </c>
      <c r="AD29">
        <f>'OK OK'!AD36</f>
        <v>0</v>
      </c>
      <c r="AE29">
        <f>'OK OK'!AE36</f>
        <v>0</v>
      </c>
      <c r="AF29">
        <f>'OK OK'!AF36</f>
        <v>0</v>
      </c>
      <c r="AG29">
        <f>'OK OK'!AG36</f>
        <v>0</v>
      </c>
      <c r="AH29">
        <f>'OK OK'!AH36</f>
        <v>0</v>
      </c>
      <c r="AI29">
        <f>'OK OK'!AI36</f>
        <v>0</v>
      </c>
      <c r="AJ29">
        <f>'OK OK'!AJ36</f>
        <v>0</v>
      </c>
      <c r="AK29">
        <f>'OK OK'!AK36</f>
        <v>0</v>
      </c>
      <c r="AL29">
        <f>'OK OK'!AL36</f>
        <v>0</v>
      </c>
      <c r="AM29">
        <f>'OK OK'!AM36</f>
        <v>0</v>
      </c>
      <c r="AN29">
        <f>'OK OK'!AN36</f>
        <v>0</v>
      </c>
      <c r="AO29">
        <f>'OK OK'!AO36</f>
        <v>0</v>
      </c>
      <c r="AP29">
        <f>'OK OK'!AP36</f>
        <v>0</v>
      </c>
      <c r="AQ29">
        <f>'OK OK'!AQ36</f>
        <v>0</v>
      </c>
      <c r="AR29">
        <f>'OK OK'!AR36</f>
        <v>0</v>
      </c>
      <c r="AS29">
        <f>'OK OK'!AS36</f>
        <v>0</v>
      </c>
      <c r="AT29">
        <f>'OK OK'!AT36</f>
        <v>0</v>
      </c>
      <c r="AU29">
        <f>'OK OK'!AU36</f>
        <v>0</v>
      </c>
      <c r="AV29">
        <f>'OK OK'!AV36</f>
        <v>0</v>
      </c>
      <c r="AW29">
        <f>'OK OK'!AW36</f>
        <v>0</v>
      </c>
      <c r="AX29">
        <f>'OK OK'!AX36</f>
        <v>0</v>
      </c>
      <c r="AY29">
        <f>'OK OK'!AY36</f>
        <v>0</v>
      </c>
      <c r="AZ29">
        <f>'OK OK'!AZ36</f>
        <v>0</v>
      </c>
      <c r="BA29">
        <f>'OK OK'!BA36</f>
        <v>0</v>
      </c>
      <c r="BB29">
        <f>'OK OK'!BB36</f>
        <v>0</v>
      </c>
      <c r="BC29">
        <f>'OK OK'!BC36</f>
        <v>0</v>
      </c>
      <c r="BD29">
        <f>'OK OK'!BD36</f>
        <v>0</v>
      </c>
      <c r="BE29">
        <f>'OK OK'!BE36</f>
        <v>0</v>
      </c>
    </row>
    <row r="30" spans="1:57" ht="21" x14ac:dyDescent="0.35">
      <c r="A30" s="89">
        <f>'OK OK'!A37</f>
        <v>0</v>
      </c>
      <c r="B30" s="89" t="str">
        <f>'OK OK'!B37</f>
        <v>Mg</v>
      </c>
      <c r="C30" s="89">
        <f>'OK OK'!C37</f>
        <v>59.042873592004128</v>
      </c>
      <c r="D30" s="89">
        <f>'OK OK'!D37</f>
        <v>0</v>
      </c>
      <c r="E30" s="89">
        <f>'OK OK'!E37</f>
        <v>0</v>
      </c>
      <c r="F30" s="89">
        <f>'OK OK'!F37</f>
        <v>0</v>
      </c>
      <c r="G30" s="89">
        <f>'OK OK'!G37</f>
        <v>0.5</v>
      </c>
      <c r="H30" s="89">
        <f>'OK OK'!H37</f>
        <v>0</v>
      </c>
      <c r="I30" s="89">
        <f>'OK OK'!I37</f>
        <v>1.62</v>
      </c>
      <c r="J30" s="89">
        <f>'OK OK'!J37</f>
        <v>98</v>
      </c>
      <c r="K30" s="89">
        <f>'OK OK'!K37</f>
        <v>16.360601001669448</v>
      </c>
      <c r="L30" s="89">
        <f>'OK OK'!L37</f>
        <v>94.49</v>
      </c>
      <c r="M30" s="89">
        <f>'OK OK'!M37</f>
        <v>0</v>
      </c>
      <c r="N30" s="89">
        <f>'OK OK'!N37</f>
        <v>0</v>
      </c>
      <c r="O30" s="89">
        <f>'OK OK'!O37</f>
        <v>0</v>
      </c>
      <c r="P30" s="89">
        <f>'OK OK'!P37</f>
        <v>0</v>
      </c>
      <c r="Q30" s="89">
        <f>'OK OK'!Q37</f>
        <v>0</v>
      </c>
      <c r="R30" s="89">
        <f>'OK OK'!R37</f>
        <v>0</v>
      </c>
      <c r="S30" s="89">
        <f>'OK OK'!S37</f>
        <v>0</v>
      </c>
      <c r="T30" s="89">
        <f>'OK OK'!T37</f>
        <v>0</v>
      </c>
      <c r="U30" s="89">
        <f>'OK OK'!U37</f>
        <v>0</v>
      </c>
      <c r="V30" s="89">
        <f>'OK OK'!V37</f>
        <v>0</v>
      </c>
      <c r="W30" s="89">
        <f>'OK OK'!W37</f>
        <v>0</v>
      </c>
      <c r="X30" s="89">
        <f>'OK OK'!X37</f>
        <v>0</v>
      </c>
      <c r="Y30" s="89">
        <f>'OK OK'!Y37</f>
        <v>0</v>
      </c>
      <c r="Z30">
        <f>'OK OK'!Z37</f>
        <v>0</v>
      </c>
      <c r="AA30">
        <f>'OK OK'!AA37</f>
        <v>0</v>
      </c>
      <c r="AB30">
        <f>'OK OK'!AB37</f>
        <v>0</v>
      </c>
      <c r="AC30">
        <f>'OK OK'!AC37</f>
        <v>0</v>
      </c>
      <c r="AD30">
        <f>'OK OK'!AD37</f>
        <v>0</v>
      </c>
      <c r="AE30">
        <f>'OK OK'!AE37</f>
        <v>0</v>
      </c>
      <c r="AF30">
        <f>'OK OK'!AF37</f>
        <v>0</v>
      </c>
      <c r="AG30">
        <f>'OK OK'!AG37</f>
        <v>0</v>
      </c>
      <c r="AH30">
        <f>'OK OK'!AH37</f>
        <v>0</v>
      </c>
      <c r="AI30">
        <f>'OK OK'!AI37</f>
        <v>0</v>
      </c>
      <c r="AJ30">
        <f>'OK OK'!AJ37</f>
        <v>0</v>
      </c>
      <c r="AK30">
        <f>'OK OK'!AK37</f>
        <v>0</v>
      </c>
      <c r="AL30">
        <f>'OK OK'!AL37</f>
        <v>0</v>
      </c>
      <c r="AM30">
        <f>'OK OK'!AM37</f>
        <v>0</v>
      </c>
      <c r="AN30">
        <f>'OK OK'!AN37</f>
        <v>0</v>
      </c>
      <c r="AO30">
        <f>'OK OK'!AO37</f>
        <v>0</v>
      </c>
      <c r="AP30">
        <f>'OK OK'!AP37</f>
        <v>0</v>
      </c>
      <c r="AQ30">
        <f>'OK OK'!AQ37</f>
        <v>0</v>
      </c>
      <c r="AR30">
        <f>'OK OK'!AR37</f>
        <v>0</v>
      </c>
      <c r="AS30">
        <f>'OK OK'!AS37</f>
        <v>0</v>
      </c>
      <c r="AT30">
        <f>'OK OK'!AT37</f>
        <v>0</v>
      </c>
      <c r="AU30">
        <f>'OK OK'!AU37</f>
        <v>0</v>
      </c>
      <c r="AV30">
        <f>'OK OK'!AV37</f>
        <v>0</v>
      </c>
      <c r="AW30">
        <f>'OK OK'!AW37</f>
        <v>0</v>
      </c>
      <c r="AX30">
        <f>'OK OK'!AX37</f>
        <v>0</v>
      </c>
      <c r="AY30">
        <f>'OK OK'!AY37</f>
        <v>0</v>
      </c>
      <c r="AZ30">
        <f>'OK OK'!AZ37</f>
        <v>0</v>
      </c>
      <c r="BA30">
        <f>'OK OK'!BA37</f>
        <v>0</v>
      </c>
      <c r="BB30">
        <f>'OK OK'!BB37</f>
        <v>0</v>
      </c>
      <c r="BC30">
        <f>'OK OK'!BC37</f>
        <v>0</v>
      </c>
      <c r="BD30">
        <f>'OK OK'!BD37</f>
        <v>0</v>
      </c>
      <c r="BE30">
        <f>'OK OK'!BE37</f>
        <v>0</v>
      </c>
    </row>
    <row r="31" spans="1:57" ht="21" x14ac:dyDescent="0.35">
      <c r="A31" s="89">
        <f>'OK OK'!A38</f>
        <v>0</v>
      </c>
      <c r="B31" s="89" t="str">
        <f>'OK OK'!B38</f>
        <v>Si</v>
      </c>
      <c r="C31" s="89">
        <f>'OK OK'!C38</f>
        <v>1.3355622009069887</v>
      </c>
      <c r="D31" s="89">
        <f>'OK OK'!D38</f>
        <v>0</v>
      </c>
      <c r="E31" s="89">
        <f>'OK OK'!E38</f>
        <v>0</v>
      </c>
      <c r="F31" s="89">
        <f>'OK OK'!F38</f>
        <v>0</v>
      </c>
      <c r="G31" s="89">
        <f>'OK OK'!G38</f>
        <v>23</v>
      </c>
      <c r="H31" s="89">
        <f>'OK OK'!H38</f>
        <v>0</v>
      </c>
      <c r="I31" s="89">
        <f>'OK OK'!I38</f>
        <v>0</v>
      </c>
      <c r="J31" s="89">
        <f>'OK OK'!J38</f>
        <v>0.5</v>
      </c>
      <c r="K31" s="89">
        <f>'OK OK'!K38</f>
        <v>8.347245409015025E-2</v>
      </c>
      <c r="L31" s="89">
        <f>'OK OK'!L38</f>
        <v>95.82</v>
      </c>
      <c r="M31" s="89">
        <f>'OK OK'!M38</f>
        <v>0</v>
      </c>
      <c r="N31" s="89">
        <f>'OK OK'!N38</f>
        <v>0</v>
      </c>
      <c r="O31" s="89">
        <f>'OK OK'!O38</f>
        <v>0</v>
      </c>
      <c r="P31" s="89">
        <f>'OK OK'!P38</f>
        <v>0</v>
      </c>
      <c r="Q31" s="89">
        <f>'OK OK'!Q38</f>
        <v>0</v>
      </c>
      <c r="R31" s="89">
        <f>'OK OK'!R38</f>
        <v>0</v>
      </c>
      <c r="S31" s="89">
        <f>'OK OK'!S38</f>
        <v>0</v>
      </c>
      <c r="T31" s="89">
        <f>'OK OK'!T38</f>
        <v>0</v>
      </c>
      <c r="U31" s="89">
        <f>'OK OK'!U38</f>
        <v>0</v>
      </c>
      <c r="V31" s="89">
        <f>'OK OK'!V38</f>
        <v>0</v>
      </c>
      <c r="W31" s="89">
        <f>'OK OK'!W38</f>
        <v>0</v>
      </c>
      <c r="X31" s="89">
        <f>'OK OK'!X38</f>
        <v>0</v>
      </c>
      <c r="Y31" s="89">
        <f>'OK OK'!Y38</f>
        <v>0</v>
      </c>
      <c r="Z31">
        <f>'OK OK'!Z38</f>
        <v>0</v>
      </c>
      <c r="AA31">
        <f>'OK OK'!AA38</f>
        <v>0</v>
      </c>
      <c r="AB31">
        <f>'OK OK'!AB38</f>
        <v>0</v>
      </c>
      <c r="AC31">
        <f>'OK OK'!AC38</f>
        <v>0</v>
      </c>
      <c r="AD31">
        <f>'OK OK'!AD38</f>
        <v>0</v>
      </c>
      <c r="AE31">
        <f>'OK OK'!AE38</f>
        <v>0</v>
      </c>
      <c r="AF31">
        <f>'OK OK'!AF38</f>
        <v>0</v>
      </c>
      <c r="AG31">
        <f>'OK OK'!AG38</f>
        <v>0</v>
      </c>
      <c r="AH31">
        <f>'OK OK'!AH38</f>
        <v>0</v>
      </c>
      <c r="AI31">
        <f>'OK OK'!AI38</f>
        <v>0</v>
      </c>
      <c r="AJ31">
        <f>'OK OK'!AJ38</f>
        <v>0</v>
      </c>
      <c r="AK31">
        <f>'OK OK'!AK38</f>
        <v>0</v>
      </c>
      <c r="AL31">
        <f>'OK OK'!AL38</f>
        <v>0</v>
      </c>
      <c r="AM31">
        <f>'OK OK'!AM38</f>
        <v>0</v>
      </c>
      <c r="AN31">
        <f>'OK OK'!AN38</f>
        <v>0</v>
      </c>
      <c r="AO31">
        <f>'OK OK'!AO38</f>
        <v>0</v>
      </c>
      <c r="AP31">
        <f>'OK OK'!AP38</f>
        <v>0</v>
      </c>
      <c r="AQ31">
        <f>'OK OK'!AQ38</f>
        <v>0</v>
      </c>
      <c r="AR31">
        <f>'OK OK'!AR38</f>
        <v>0</v>
      </c>
      <c r="AS31">
        <f>'OK OK'!AS38</f>
        <v>0</v>
      </c>
      <c r="AT31">
        <f>'OK OK'!AT38</f>
        <v>0</v>
      </c>
      <c r="AU31">
        <f>'OK OK'!AU38</f>
        <v>0</v>
      </c>
      <c r="AV31">
        <f>'OK OK'!AV38</f>
        <v>0</v>
      </c>
      <c r="AW31">
        <f>'OK OK'!AW38</f>
        <v>0</v>
      </c>
      <c r="AX31">
        <f>'OK OK'!AX38</f>
        <v>0</v>
      </c>
      <c r="AY31">
        <f>'OK OK'!AY38</f>
        <v>0</v>
      </c>
      <c r="AZ31">
        <f>'OK OK'!AZ38</f>
        <v>0</v>
      </c>
      <c r="BA31">
        <f>'OK OK'!BA38</f>
        <v>0</v>
      </c>
      <c r="BB31">
        <f>'OK OK'!BB38</f>
        <v>0</v>
      </c>
      <c r="BC31">
        <f>'OK OK'!BC38</f>
        <v>0</v>
      </c>
      <c r="BD31">
        <f>'OK OK'!BD38</f>
        <v>0</v>
      </c>
      <c r="BE31">
        <f>'OK OK'!BE38</f>
        <v>0</v>
      </c>
    </row>
    <row r="32" spans="1:57" ht="21" x14ac:dyDescent="0.35">
      <c r="A32" s="89">
        <f>'OK OK'!A39</f>
        <v>0</v>
      </c>
      <c r="B32" s="89" t="str">
        <f>'OK OK'!B39</f>
        <v>Sum</v>
      </c>
      <c r="C32" s="89">
        <f>'OK OK'!C39</f>
        <v>59.042873592004128</v>
      </c>
      <c r="D32" s="89">
        <f>'OK OK'!D39</f>
        <v>0</v>
      </c>
      <c r="E32" s="89">
        <f>'OK OK'!E39</f>
        <v>0</v>
      </c>
      <c r="F32" s="89">
        <f>'OK OK'!F39</f>
        <v>0</v>
      </c>
      <c r="G32" s="89">
        <f>'OK OK'!G39</f>
        <v>118</v>
      </c>
      <c r="H32" s="89">
        <f>'OK OK'!H39</f>
        <v>0</v>
      </c>
      <c r="I32" s="89">
        <f>'OK OK'!I39</f>
        <v>0</v>
      </c>
      <c r="J32" s="89">
        <f>'OK OK'!J39</f>
        <v>23</v>
      </c>
      <c r="K32" s="89">
        <f>'OK OK'!K39</f>
        <v>3.8397328881469117</v>
      </c>
      <c r="L32" s="89">
        <f>'OK OK'!L39</f>
        <v>89.48</v>
      </c>
      <c r="M32" s="89">
        <f>'OK OK'!M39</f>
        <v>0</v>
      </c>
      <c r="N32" s="89">
        <f>'OK OK'!N39</f>
        <v>0</v>
      </c>
      <c r="O32" s="89">
        <f>'OK OK'!O39</f>
        <v>0</v>
      </c>
      <c r="P32" s="89">
        <f>'OK OK'!P39</f>
        <v>0</v>
      </c>
      <c r="Q32" s="89">
        <f>'OK OK'!Q39</f>
        <v>0</v>
      </c>
      <c r="R32" s="89">
        <f>'OK OK'!R39</f>
        <v>0</v>
      </c>
      <c r="S32" s="89">
        <f>'OK OK'!S39</f>
        <v>0</v>
      </c>
      <c r="T32" s="89">
        <f>'OK OK'!T39</f>
        <v>0</v>
      </c>
      <c r="U32" s="89">
        <f>'OK OK'!U39</f>
        <v>0</v>
      </c>
      <c r="V32" s="89">
        <f>'OK OK'!V39</f>
        <v>0</v>
      </c>
      <c r="W32" s="89">
        <f>'OK OK'!W39</f>
        <v>0</v>
      </c>
      <c r="X32" s="89">
        <f>'OK OK'!X39</f>
        <v>0</v>
      </c>
      <c r="Y32" s="89">
        <f>'OK OK'!Y39</f>
        <v>0</v>
      </c>
      <c r="Z32">
        <f>'OK OK'!Z39</f>
        <v>0</v>
      </c>
      <c r="AA32">
        <f>'OK OK'!AA39</f>
        <v>0</v>
      </c>
      <c r="AB32">
        <f>'OK OK'!AB39</f>
        <v>0</v>
      </c>
      <c r="AC32">
        <f>'OK OK'!AC39</f>
        <v>0</v>
      </c>
      <c r="AD32">
        <f>'OK OK'!AD39</f>
        <v>0</v>
      </c>
      <c r="AE32">
        <f>'OK OK'!AE39</f>
        <v>0</v>
      </c>
      <c r="AF32">
        <f>'OK OK'!AF39</f>
        <v>0</v>
      </c>
      <c r="AG32">
        <f>'OK OK'!AG39</f>
        <v>0</v>
      </c>
      <c r="AH32">
        <f>'OK OK'!AH39</f>
        <v>0</v>
      </c>
      <c r="AI32">
        <f>'OK OK'!AI39</f>
        <v>0</v>
      </c>
      <c r="AJ32">
        <f>'OK OK'!AJ39</f>
        <v>0</v>
      </c>
      <c r="AK32">
        <f>'OK OK'!AK39</f>
        <v>0</v>
      </c>
      <c r="AL32">
        <f>'OK OK'!AL39</f>
        <v>0</v>
      </c>
      <c r="AM32">
        <f>'OK OK'!AM39</f>
        <v>0</v>
      </c>
      <c r="AN32">
        <f>'OK OK'!AN39</f>
        <v>0</v>
      </c>
      <c r="AO32">
        <f>'OK OK'!AO39</f>
        <v>0</v>
      </c>
      <c r="AP32">
        <f>'OK OK'!AP39</f>
        <v>0</v>
      </c>
      <c r="AQ32">
        <f>'OK OK'!AQ39</f>
        <v>0</v>
      </c>
      <c r="AR32">
        <f>'OK OK'!AR39</f>
        <v>0</v>
      </c>
      <c r="AS32">
        <f>'OK OK'!AS39</f>
        <v>0</v>
      </c>
      <c r="AT32">
        <f>'OK OK'!AT39</f>
        <v>0</v>
      </c>
      <c r="AU32">
        <f>'OK OK'!AU39</f>
        <v>0</v>
      </c>
      <c r="AV32">
        <f>'OK OK'!AV39</f>
        <v>0</v>
      </c>
      <c r="AW32">
        <f>'OK OK'!AW39</f>
        <v>0</v>
      </c>
      <c r="AX32">
        <f>'OK OK'!AX39</f>
        <v>0</v>
      </c>
      <c r="AY32">
        <f>'OK OK'!AY39</f>
        <v>0</v>
      </c>
      <c r="AZ32">
        <f>'OK OK'!AZ39</f>
        <v>0</v>
      </c>
      <c r="BA32">
        <f>'OK OK'!BA39</f>
        <v>0</v>
      </c>
      <c r="BB32">
        <f>'OK OK'!BB39</f>
        <v>0</v>
      </c>
      <c r="BC32">
        <f>'OK OK'!BC39</f>
        <v>0</v>
      </c>
      <c r="BD32">
        <f>'OK OK'!BD39</f>
        <v>0</v>
      </c>
      <c r="BE32">
        <f>'OK OK'!BE39</f>
        <v>0</v>
      </c>
    </row>
    <row r="33" spans="1:57" ht="21" x14ac:dyDescent="0.35">
      <c r="A33" s="89">
        <f>'OK OK'!A40</f>
        <v>0</v>
      </c>
      <c r="B33" s="89" t="str">
        <f>'OK OK'!B40</f>
        <v>Fe</v>
      </c>
      <c r="C33" s="89" t="str">
        <f>'OK OK'!C40</f>
        <v>Si</v>
      </c>
      <c r="D33" s="89" t="str">
        <f>'OK OK'!D40</f>
        <v>Ni</v>
      </c>
      <c r="E33" s="89" t="str">
        <f>'OK OK'!E40</f>
        <v>Cu</v>
      </c>
      <c r="F33" s="89" t="str">
        <f>'OK OK'!F40</f>
        <v>Zn</v>
      </c>
      <c r="G33" s="89" t="str">
        <f>'OK OK'!G40</f>
        <v>C</v>
      </c>
      <c r="H33" s="89" t="str">
        <f>'OK OK'!H40</f>
        <v>P</v>
      </c>
      <c r="I33" s="89" t="str">
        <f>'OK OK'!I40</f>
        <v>S</v>
      </c>
      <c r="J33" s="89" t="str">
        <f>'OK OK'!J40</f>
        <v>N</v>
      </c>
      <c r="K33" s="89" t="str">
        <f>'OK OK'!K40</f>
        <v>B</v>
      </c>
      <c r="L33" s="89" t="str">
        <f>'OK OK'!L40</f>
        <v>Mn</v>
      </c>
      <c r="M33" s="89" t="str">
        <f>'OK OK'!M40</f>
        <v>Al</v>
      </c>
      <c r="N33" s="89" t="str">
        <f>'OK OK'!N40</f>
        <v>Cr</v>
      </c>
      <c r="O33" s="89" t="str">
        <f>'OK OK'!O40</f>
        <v>Mo</v>
      </c>
      <c r="P33" s="89" t="str">
        <f>'OK OK'!P40</f>
        <v>Ti</v>
      </c>
      <c r="Q33" s="89" t="str">
        <f>'OK OK'!Q40</f>
        <v>V</v>
      </c>
      <c r="R33" s="89" t="str">
        <f>'OK OK'!R40</f>
        <v>Nb</v>
      </c>
      <c r="S33" s="89" t="str">
        <f>'OK OK'!S40</f>
        <v>W</v>
      </c>
      <c r="T33" s="89" t="str">
        <f>'OK OK'!T40</f>
        <v>Ta</v>
      </c>
      <c r="U33" s="89" t="str">
        <f>'OK OK'!U40</f>
        <v>Zr</v>
      </c>
      <c r="V33" s="89" t="str">
        <f>'OK OK'!V40</f>
        <v>Co</v>
      </c>
      <c r="W33" s="89" t="str">
        <f>'OK OK'!W40</f>
        <v>Mg</v>
      </c>
      <c r="X33" s="89" t="str">
        <f>'OK OK'!X40</f>
        <v>Sb</v>
      </c>
      <c r="Y33" s="89" t="str">
        <f>'OK OK'!Y40</f>
        <v>Pb</v>
      </c>
      <c r="Z33" t="str">
        <f>'OK OK'!Z40</f>
        <v>Sn</v>
      </c>
      <c r="AA33">
        <f>'OK OK'!AA40</f>
        <v>0</v>
      </c>
      <c r="AB33">
        <f>'OK OK'!AB40</f>
        <v>0</v>
      </c>
      <c r="AC33">
        <f>'OK OK'!AC40</f>
        <v>0</v>
      </c>
      <c r="AD33">
        <f>'OK OK'!AD40</f>
        <v>0</v>
      </c>
      <c r="AE33">
        <f>'OK OK'!AE40</f>
        <v>0</v>
      </c>
      <c r="AF33">
        <f>'OK OK'!AF40</f>
        <v>0</v>
      </c>
      <c r="AG33">
        <f>'OK OK'!AG40</f>
        <v>0</v>
      </c>
      <c r="AH33">
        <f>'OK OK'!AH40</f>
        <v>0</v>
      </c>
      <c r="AI33">
        <f>'OK OK'!AI40</f>
        <v>0</v>
      </c>
      <c r="AJ33">
        <f>'OK OK'!AJ40</f>
        <v>0</v>
      </c>
      <c r="AK33">
        <f>'OK OK'!AK40</f>
        <v>0</v>
      </c>
      <c r="AL33">
        <f>'OK OK'!AL40</f>
        <v>0</v>
      </c>
      <c r="AM33">
        <f>'OK OK'!AM40</f>
        <v>0</v>
      </c>
      <c r="AN33">
        <f>'OK OK'!AN40</f>
        <v>0</v>
      </c>
      <c r="AO33">
        <f>'OK OK'!AO40</f>
        <v>0</v>
      </c>
      <c r="AP33">
        <f>'OK OK'!AP40</f>
        <v>0</v>
      </c>
      <c r="AQ33">
        <f>'OK OK'!AQ40</f>
        <v>0</v>
      </c>
      <c r="AR33">
        <f>'OK OK'!AR40</f>
        <v>0</v>
      </c>
      <c r="AS33">
        <f>'OK OK'!AS40</f>
        <v>0</v>
      </c>
      <c r="AT33">
        <f>'OK OK'!AT40</f>
        <v>0</v>
      </c>
      <c r="AU33">
        <f>'OK OK'!AU40</f>
        <v>0</v>
      </c>
      <c r="AV33">
        <f>'OK OK'!AV40</f>
        <v>0</v>
      </c>
      <c r="AW33">
        <f>'OK OK'!AW40</f>
        <v>0</v>
      </c>
      <c r="AX33">
        <f>'OK OK'!AX40</f>
        <v>0</v>
      </c>
      <c r="AY33">
        <f>'OK OK'!AY40</f>
        <v>0</v>
      </c>
      <c r="AZ33">
        <f>'OK OK'!AZ40</f>
        <v>0</v>
      </c>
      <c r="BA33">
        <f>'OK OK'!BA40</f>
        <v>0</v>
      </c>
      <c r="BB33">
        <f>'OK OK'!BB40</f>
        <v>0</v>
      </c>
      <c r="BC33">
        <f>'OK OK'!BC40</f>
        <v>0</v>
      </c>
      <c r="BD33">
        <f>'OK OK'!BD40</f>
        <v>0</v>
      </c>
      <c r="BE33">
        <f>'OK OK'!BE40</f>
        <v>0</v>
      </c>
    </row>
    <row r="34" spans="1:57" ht="21" x14ac:dyDescent="0.35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</row>
    <row r="35" spans="1:57" ht="21" x14ac:dyDescent="0.3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</row>
    <row r="36" spans="1:57" ht="21" x14ac:dyDescent="0.35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</row>
    <row r="37" spans="1:57" ht="21" x14ac:dyDescent="0.35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</row>
    <row r="38" spans="1:57" ht="21" x14ac:dyDescent="0.35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</row>
    <row r="39" spans="1:57" ht="21" x14ac:dyDescent="0.35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</row>
    <row r="40" spans="1:57" ht="21" x14ac:dyDescent="0.35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57" ht="21" x14ac:dyDescent="0.35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</row>
    <row r="42" spans="1:57" ht="21" x14ac:dyDescent="0.35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</row>
    <row r="43" spans="1:57" ht="21" x14ac:dyDescent="0.35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</row>
    <row r="44" spans="1:57" ht="21" x14ac:dyDescent="0.3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</row>
    <row r="45" spans="1:57" ht="21" x14ac:dyDescent="0.35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</row>
    <row r="46" spans="1:57" ht="21" x14ac:dyDescent="0.35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</row>
    <row r="47" spans="1:57" ht="21" x14ac:dyDescent="0.35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</row>
    <row r="48" spans="1:57" ht="21" x14ac:dyDescent="0.35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</row>
    <row r="49" spans="1:25" ht="21" x14ac:dyDescent="0.35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</row>
    <row r="50" spans="1:25" ht="21" x14ac:dyDescent="0.35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</row>
    <row r="51" spans="1:25" ht="21" x14ac:dyDescent="0.35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</row>
    <row r="52" spans="1:25" ht="21" x14ac:dyDescent="0.35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</row>
    <row r="53" spans="1:25" ht="21" x14ac:dyDescent="0.35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</row>
    <row r="54" spans="1:25" ht="21" x14ac:dyDescent="0.35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</row>
    <row r="55" spans="1:25" ht="21" x14ac:dyDescent="0.35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</row>
    <row r="56" spans="1:25" ht="21" x14ac:dyDescent="0.3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</row>
    <row r="57" spans="1:25" ht="21" x14ac:dyDescent="0.3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</row>
    <row r="58" spans="1:25" ht="21" x14ac:dyDescent="0.3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</row>
    <row r="59" spans="1:25" ht="21" x14ac:dyDescent="0.3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</row>
    <row r="60" spans="1:25" ht="21" x14ac:dyDescent="0.3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</row>
    <row r="61" spans="1:25" ht="21" x14ac:dyDescent="0.3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</row>
    <row r="62" spans="1:25" ht="21" x14ac:dyDescent="0.3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</row>
    <row r="63" spans="1:25" ht="21" x14ac:dyDescent="0.3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</row>
    <row r="64" spans="1:25" ht="21" x14ac:dyDescent="0.3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</row>
    <row r="65" spans="1:25" ht="21" x14ac:dyDescent="0.3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</row>
    <row r="66" spans="1:25" ht="21" x14ac:dyDescent="0.3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ht="21" x14ac:dyDescent="0.35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</row>
    <row r="68" spans="1:25" ht="21" x14ac:dyDescent="0.35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</row>
    <row r="69" spans="1:25" ht="21" x14ac:dyDescent="0.35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</row>
    <row r="70" spans="1:25" ht="21" x14ac:dyDescent="0.35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</row>
    <row r="71" spans="1:25" ht="21" x14ac:dyDescent="0.35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</row>
    <row r="72" spans="1:25" ht="21" x14ac:dyDescent="0.35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</row>
    <row r="73" spans="1:25" ht="21" x14ac:dyDescent="0.35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</row>
    <row r="74" spans="1:25" ht="21" x14ac:dyDescent="0.35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</row>
    <row r="75" spans="1:25" ht="21" x14ac:dyDescent="0.35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</row>
    <row r="76" spans="1:25" ht="21" x14ac:dyDescent="0.35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</row>
    <row r="77" spans="1:25" ht="21" x14ac:dyDescent="0.35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</row>
    <row r="78" spans="1:25" ht="21" x14ac:dyDescent="0.35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</row>
    <row r="79" spans="1:25" ht="21" x14ac:dyDescent="0.35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</row>
    <row r="80" spans="1:25" ht="21" x14ac:dyDescent="0.35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</row>
    <row r="81" spans="1:25" ht="21" x14ac:dyDescent="0.35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</row>
    <row r="82" spans="1:25" ht="21" x14ac:dyDescent="0.35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</row>
    <row r="83" spans="1:25" ht="21" x14ac:dyDescent="0.35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</row>
    <row r="84" spans="1:25" ht="21" x14ac:dyDescent="0.35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</row>
    <row r="85" spans="1:25" ht="21" x14ac:dyDescent="0.35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</row>
    <row r="86" spans="1:25" ht="21" x14ac:dyDescent="0.35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</row>
    <row r="87" spans="1:25" ht="21" x14ac:dyDescent="0.35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</row>
    <row r="88" spans="1:25" ht="21" x14ac:dyDescent="0.35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</row>
    <row r="89" spans="1:25" ht="21" x14ac:dyDescent="0.35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</row>
    <row r="90" spans="1:25" ht="21" x14ac:dyDescent="0.35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</row>
    <row r="91" spans="1:25" ht="21" x14ac:dyDescent="0.35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</row>
    <row r="92" spans="1:25" ht="21" x14ac:dyDescent="0.35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</row>
    <row r="93" spans="1:25" ht="21" x14ac:dyDescent="0.35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</row>
    <row r="94" spans="1:25" ht="21" x14ac:dyDescent="0.35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</row>
    <row r="95" spans="1:25" ht="21" x14ac:dyDescent="0.35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</row>
    <row r="96" spans="1:25" ht="21" x14ac:dyDescent="0.35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</row>
    <row r="97" spans="1:25" ht="21" x14ac:dyDescent="0.35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</row>
    <row r="98" spans="1:25" ht="21" x14ac:dyDescent="0.35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</row>
    <row r="99" spans="1:25" ht="21" x14ac:dyDescent="0.35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</row>
    <row r="100" spans="1:25" ht="21" x14ac:dyDescent="0.35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</row>
    <row r="101" spans="1:25" ht="21" x14ac:dyDescent="0.35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</row>
    <row r="102" spans="1:25" ht="21" x14ac:dyDescent="0.35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</row>
    <row r="103" spans="1:25" ht="21" x14ac:dyDescent="0.35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</row>
    <row r="104" spans="1:25" ht="21" x14ac:dyDescent="0.35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</row>
    <row r="105" spans="1:25" ht="21" x14ac:dyDescent="0.35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</row>
    <row r="106" spans="1:25" ht="21" x14ac:dyDescent="0.35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</row>
    <row r="107" spans="1:25" ht="21" x14ac:dyDescent="0.35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</row>
    <row r="108" spans="1:25" ht="21" x14ac:dyDescent="0.35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</row>
    <row r="109" spans="1:25" ht="21" x14ac:dyDescent="0.35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</row>
    <row r="110" spans="1:25" ht="21" x14ac:dyDescent="0.35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</row>
    <row r="111" spans="1:25" ht="21" x14ac:dyDescent="0.35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</row>
    <row r="112" spans="1:25" ht="21" x14ac:dyDescent="0.35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</row>
    <row r="113" spans="1:25" ht="21" x14ac:dyDescent="0.35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</row>
    <row r="114" spans="1:25" ht="21" x14ac:dyDescent="0.35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</row>
    <row r="115" spans="1:25" ht="21" x14ac:dyDescent="0.35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</row>
    <row r="116" spans="1:25" ht="21" x14ac:dyDescent="0.35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</row>
    <row r="117" spans="1:25" ht="21" x14ac:dyDescent="0.35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</row>
    <row r="118" spans="1:25" ht="21" x14ac:dyDescent="0.35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</row>
    <row r="119" spans="1:25" ht="21" x14ac:dyDescent="0.35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</row>
    <row r="120" spans="1:25" ht="21" x14ac:dyDescent="0.35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</row>
    <row r="121" spans="1:25" ht="21" x14ac:dyDescent="0.35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</row>
    <row r="122" spans="1:25" ht="21" x14ac:dyDescent="0.35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</row>
    <row r="123" spans="1:25" ht="21" x14ac:dyDescent="0.35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</row>
    <row r="124" spans="1:25" ht="21" x14ac:dyDescent="0.35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</row>
    <row r="125" spans="1:25" ht="21" x14ac:dyDescent="0.35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</row>
    <row r="126" spans="1:25" ht="21" x14ac:dyDescent="0.35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</row>
    <row r="127" spans="1:25" ht="21" x14ac:dyDescent="0.35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</row>
    <row r="128" spans="1:25" ht="21" x14ac:dyDescent="0.35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</row>
    <row r="129" spans="1:25" ht="21" x14ac:dyDescent="0.35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</row>
    <row r="130" spans="1:25" ht="21" x14ac:dyDescent="0.35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</row>
    <row r="131" spans="1:25" ht="21" x14ac:dyDescent="0.35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</row>
    <row r="132" spans="1:25" ht="21" x14ac:dyDescent="0.35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</row>
    <row r="133" spans="1:25" ht="21" x14ac:dyDescent="0.35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</row>
    <row r="134" spans="1:25" ht="21" x14ac:dyDescent="0.35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</row>
    <row r="135" spans="1:25" ht="21" x14ac:dyDescent="0.35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</row>
    <row r="136" spans="1:25" ht="21" x14ac:dyDescent="0.35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</row>
    <row r="137" spans="1:25" ht="21" x14ac:dyDescent="0.35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</row>
    <row r="138" spans="1:25" ht="21" x14ac:dyDescent="0.35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</row>
    <row r="139" spans="1:25" ht="21" x14ac:dyDescent="0.35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</row>
    <row r="140" spans="1:25" ht="21" x14ac:dyDescent="0.35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</row>
    <row r="141" spans="1:25" ht="21" x14ac:dyDescent="0.35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</row>
    <row r="142" spans="1:25" ht="21" x14ac:dyDescent="0.35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</row>
    <row r="143" spans="1:25" ht="21" x14ac:dyDescent="0.35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</row>
    <row r="144" spans="1:25" ht="21" x14ac:dyDescent="0.35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</row>
    <row r="145" spans="1:25" ht="21" x14ac:dyDescent="0.35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</row>
    <row r="146" spans="1:25" ht="21" x14ac:dyDescent="0.35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</row>
    <row r="147" spans="1:25" ht="21" x14ac:dyDescent="0.35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</row>
    <row r="148" spans="1:25" ht="21" x14ac:dyDescent="0.35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</row>
    <row r="149" spans="1:25" ht="21" x14ac:dyDescent="0.35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</row>
    <row r="150" spans="1:25" ht="21" x14ac:dyDescent="0.35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</row>
    <row r="151" spans="1:25" ht="21" x14ac:dyDescent="0.35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</row>
    <row r="152" spans="1:25" ht="21" x14ac:dyDescent="0.35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</row>
    <row r="153" spans="1:25" ht="21" x14ac:dyDescent="0.35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</row>
    <row r="154" spans="1:25" ht="21" x14ac:dyDescent="0.35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</row>
    <row r="155" spans="1:25" ht="21" x14ac:dyDescent="0.35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</row>
    <row r="156" spans="1:25" ht="21" x14ac:dyDescent="0.35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</row>
    <row r="157" spans="1:25" ht="21" x14ac:dyDescent="0.35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</row>
    <row r="158" spans="1:25" ht="21" x14ac:dyDescent="0.35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</row>
    <row r="159" spans="1:25" ht="21" x14ac:dyDescent="0.35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</row>
    <row r="160" spans="1:25" ht="21" x14ac:dyDescent="0.35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</row>
    <row r="161" spans="1:25" ht="21" x14ac:dyDescent="0.35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</row>
    <row r="162" spans="1:25" ht="21" x14ac:dyDescent="0.35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</row>
    <row r="163" spans="1:25" ht="21" x14ac:dyDescent="0.35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</row>
    <row r="164" spans="1:25" ht="21" x14ac:dyDescent="0.35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</row>
    <row r="165" spans="1:25" ht="21" x14ac:dyDescent="0.35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</row>
    <row r="166" spans="1:25" ht="21" x14ac:dyDescent="0.35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</row>
    <row r="167" spans="1:25" ht="21" x14ac:dyDescent="0.35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</row>
    <row r="168" spans="1:25" ht="21" x14ac:dyDescent="0.35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</row>
    <row r="169" spans="1:25" ht="21" x14ac:dyDescent="0.35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</row>
    <row r="170" spans="1:25" ht="21" x14ac:dyDescent="0.35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</row>
    <row r="171" spans="1:25" ht="21" x14ac:dyDescent="0.35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</row>
    <row r="172" spans="1:25" ht="21" x14ac:dyDescent="0.35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</row>
    <row r="173" spans="1:25" ht="21" x14ac:dyDescent="0.35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</row>
    <row r="174" spans="1:25" ht="21" x14ac:dyDescent="0.35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</row>
    <row r="175" spans="1:25" ht="21" x14ac:dyDescent="0.35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</row>
    <row r="176" spans="1:25" ht="21" x14ac:dyDescent="0.35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</row>
    <row r="177" spans="1:25" ht="21" x14ac:dyDescent="0.35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</row>
    <row r="178" spans="1:25" ht="21" x14ac:dyDescent="0.35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</row>
    <row r="179" spans="1:25" ht="21" x14ac:dyDescent="0.35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</row>
    <row r="180" spans="1:25" ht="21" x14ac:dyDescent="0.35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</row>
    <row r="181" spans="1:25" ht="21" x14ac:dyDescent="0.35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</row>
    <row r="182" spans="1:25" ht="21" x14ac:dyDescent="0.35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</row>
    <row r="183" spans="1:25" ht="21" x14ac:dyDescent="0.35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</row>
    <row r="184" spans="1:25" ht="21" x14ac:dyDescent="0.35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</row>
    <row r="185" spans="1:25" ht="21" x14ac:dyDescent="0.35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</row>
    <row r="186" spans="1:25" ht="21" x14ac:dyDescent="0.35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</row>
    <row r="187" spans="1:25" ht="21" x14ac:dyDescent="0.35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</row>
    <row r="188" spans="1:25" ht="21" x14ac:dyDescent="0.35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</row>
    <row r="189" spans="1:25" ht="21" x14ac:dyDescent="0.35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</row>
  </sheetData>
  <pageMargins left="0.7" right="0.7" top="0.75" bottom="0.75" header="0.3" footer="0.3"/>
  <pageSetup paperSize="9" orientation="portrait" verticalDpi="597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F2B3E-898D-4F4D-ACE8-383C0F705F9D}">
  <dimension ref="A1:BA29"/>
  <sheetViews>
    <sheetView zoomScale="93" zoomScaleNormal="93" workbookViewId="0">
      <selection activeCell="D16" sqref="D16"/>
    </sheetView>
  </sheetViews>
  <sheetFormatPr baseColWidth="10" defaultColWidth="8.7109375" defaultRowHeight="15" x14ac:dyDescent="0.25"/>
  <cols>
    <col min="1" max="1" width="24.42578125" customWidth="1"/>
    <col min="2" max="2" width="17.7109375" customWidth="1"/>
    <col min="3" max="3" width="14.28515625" customWidth="1"/>
    <col min="4" max="4" width="12" customWidth="1"/>
    <col min="5" max="5" width="10.85546875" customWidth="1"/>
    <col min="6" max="6" width="8.28515625" customWidth="1"/>
    <col min="7" max="7" width="11.28515625" customWidth="1"/>
    <col min="8" max="8" width="9.7109375" customWidth="1"/>
    <col min="9" max="9" width="9.42578125" customWidth="1"/>
    <col min="10" max="11" width="12.7109375" customWidth="1"/>
    <col min="12" max="12" width="9" customWidth="1"/>
    <col min="13" max="13" width="6" customWidth="1"/>
    <col min="14" max="14" width="5.85546875" customWidth="1"/>
    <col min="15" max="15" width="9" customWidth="1"/>
    <col min="16" max="17" width="8.85546875" bestFit="1" customWidth="1"/>
  </cols>
  <sheetData>
    <row r="1" spans="1:53" ht="21" x14ac:dyDescent="0.35">
      <c r="A1" s="89" t="s">
        <v>34</v>
      </c>
      <c r="B1" s="89"/>
      <c r="C1" s="89">
        <f>C5-C2</f>
        <v>3.0806052622011419</v>
      </c>
      <c r="D1" s="89">
        <f>D4-D2</f>
        <v>1.3390140731654472</v>
      </c>
      <c r="E1" s="89">
        <f>E2-E5</f>
        <v>0</v>
      </c>
      <c r="F1" s="89">
        <f>F4-F2</f>
        <v>0</v>
      </c>
      <c r="G1" s="89">
        <f t="shared" ref="G1:O1" si="0">G4-G2</f>
        <v>0.91521970155323784</v>
      </c>
      <c r="H1" s="89">
        <f t="shared" si="0"/>
        <v>8.8718546811123438E-3</v>
      </c>
      <c r="I1" s="89">
        <f>I4-I2</f>
        <v>1.7139854382745025E-3</v>
      </c>
      <c r="J1" s="89">
        <f>J5-J2</f>
        <v>0</v>
      </c>
      <c r="K1" s="89">
        <f>K5-K2</f>
        <v>0</v>
      </c>
      <c r="L1" s="89">
        <f t="shared" si="0"/>
        <v>1.6006086588236572</v>
      </c>
      <c r="M1" s="89">
        <f t="shared" si="0"/>
        <v>2.2612196288118464E-3</v>
      </c>
      <c r="N1" s="89">
        <f t="shared" si="0"/>
        <v>1.3740766327042508</v>
      </c>
      <c r="O1" s="89">
        <f t="shared" si="0"/>
        <v>0.10882959025400381</v>
      </c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</row>
    <row r="2" spans="1:53" ht="21" x14ac:dyDescent="0.35">
      <c r="A2" s="89" t="s">
        <v>37</v>
      </c>
      <c r="B2" s="138">
        <f>100-C2-D2-E2-F2-G2-H2-I2-J2-K2-L2-M2-N2-O2</f>
        <v>100</v>
      </c>
      <c r="C2" s="89">
        <f>'1.0330_3'!C9</f>
        <v>0</v>
      </c>
      <c r="D2" s="89">
        <f>'1.0330_3'!D9</f>
        <v>0</v>
      </c>
      <c r="E2" s="89">
        <f>'1.0330_3'!E9</f>
        <v>0</v>
      </c>
      <c r="F2" s="89">
        <f>'1.0330_3'!F9</f>
        <v>0</v>
      </c>
      <c r="G2" s="89">
        <f>'1.0330_3'!G9</f>
        <v>0</v>
      </c>
      <c r="H2" s="89">
        <f>'1.0330_3'!H9</f>
        <v>0</v>
      </c>
      <c r="I2" s="89">
        <f>'1.0330_3'!I9</f>
        <v>0</v>
      </c>
      <c r="J2" s="89">
        <f>'1.0330_3'!J9</f>
        <v>0</v>
      </c>
      <c r="K2" s="89">
        <f>'1.0330_3'!K9</f>
        <v>0</v>
      </c>
      <c r="L2" s="89">
        <f>'1.0330_3'!L9</f>
        <v>0</v>
      </c>
      <c r="M2" s="89">
        <f>'1.0330_3'!M9</f>
        <v>0</v>
      </c>
      <c r="N2" s="89">
        <f>'1.0330_3'!N9</f>
        <v>0</v>
      </c>
      <c r="O2" s="89">
        <f>'1.0330_3'!O9</f>
        <v>0</v>
      </c>
      <c r="P2" s="89">
        <f>'1.0330_3'!P9</f>
        <v>0</v>
      </c>
      <c r="Q2" s="89">
        <f>'1.0330_3'!Q9</f>
        <v>0</v>
      </c>
      <c r="R2" s="89">
        <f>'1.0330_3'!R9</f>
        <v>0</v>
      </c>
      <c r="S2" s="89">
        <f>'1.0330_3'!S9</f>
        <v>0</v>
      </c>
      <c r="T2" s="89">
        <f>'1.0330_3'!T9</f>
        <v>0</v>
      </c>
      <c r="U2" s="89">
        <f>'1.0330_3'!U9</f>
        <v>0</v>
      </c>
      <c r="V2" s="89">
        <f>'1.0330_3'!V9</f>
        <v>0</v>
      </c>
      <c r="W2" s="89">
        <f>'1.0330_3'!W9</f>
        <v>0</v>
      </c>
      <c r="X2" s="89">
        <f>'1.0330_3'!X9</f>
        <v>0</v>
      </c>
      <c r="Y2" s="89">
        <f>'1.0330_3'!Y9</f>
        <v>0</v>
      </c>
      <c r="Z2" s="89">
        <f>'1.0330_3'!Z9</f>
        <v>0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</row>
    <row r="3" spans="1:53" ht="21" x14ac:dyDescent="0.35">
      <c r="A3" s="89"/>
      <c r="B3" s="210" t="s">
        <v>14</v>
      </c>
      <c r="C3" s="210" t="s">
        <v>15</v>
      </c>
      <c r="D3" s="210" t="s">
        <v>8</v>
      </c>
      <c r="E3" s="210" t="s">
        <v>9</v>
      </c>
      <c r="F3" s="210" t="s">
        <v>234</v>
      </c>
      <c r="G3" s="210" t="s">
        <v>56</v>
      </c>
      <c r="H3" s="210" t="s">
        <v>57</v>
      </c>
      <c r="I3" s="210" t="s">
        <v>58</v>
      </c>
      <c r="J3" s="210" t="s">
        <v>77</v>
      </c>
      <c r="K3" s="210" t="s">
        <v>204</v>
      </c>
      <c r="L3" s="210" t="s">
        <v>16</v>
      </c>
      <c r="M3" s="210" t="s">
        <v>12</v>
      </c>
      <c r="N3" s="210" t="s">
        <v>44</v>
      </c>
      <c r="O3" s="210" t="s">
        <v>55</v>
      </c>
      <c r="P3" s="210" t="s">
        <v>17</v>
      </c>
      <c r="Q3" s="210" t="s">
        <v>80</v>
      </c>
      <c r="R3" s="210" t="s">
        <v>81</v>
      </c>
      <c r="S3" s="210" t="s">
        <v>82</v>
      </c>
      <c r="T3" s="210" t="s">
        <v>83</v>
      </c>
      <c r="U3" s="210" t="s">
        <v>45</v>
      </c>
      <c r="V3" s="210" t="s">
        <v>43</v>
      </c>
      <c r="W3" s="210" t="s">
        <v>13</v>
      </c>
      <c r="X3" s="210" t="s">
        <v>0</v>
      </c>
      <c r="Y3" s="210" t="s">
        <v>11</v>
      </c>
      <c r="Z3" s="210" t="s">
        <v>10</v>
      </c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</row>
    <row r="4" spans="1:53" ht="21" x14ac:dyDescent="0.35">
      <c r="A4" s="89" t="s">
        <v>35</v>
      </c>
      <c r="B4" s="89">
        <f>100-C4-D4-E4-F4-G4-H4-I4-J4-K4-L4-M4-N4-O4-P4-Q4-R4-S4-T4-U4-V4-W4-X4-Y4-Z4</f>
        <v>92.840162287943642</v>
      </c>
      <c r="C4" s="89">
        <f>'opt 1'!B3</f>
        <v>1.741591189035695</v>
      </c>
      <c r="D4" s="89">
        <f>'opt 1'!C3</f>
        <v>1.3390140731654472</v>
      </c>
      <c r="E4" s="89">
        <f>'opt 1'!D3</f>
        <v>0</v>
      </c>
      <c r="F4" s="89">
        <f>'opt 1'!E3</f>
        <v>0</v>
      </c>
      <c r="G4" s="89">
        <f>'opt 1'!F3</f>
        <v>0.91521970155323784</v>
      </c>
      <c r="H4" s="89">
        <f>'opt 1'!G3</f>
        <v>8.8718546811123438E-3</v>
      </c>
      <c r="I4" s="89">
        <f>'opt 1'!H3</f>
        <v>1.7139854382745025E-3</v>
      </c>
      <c r="J4" s="89">
        <f>'opt 1'!I3</f>
        <v>3.9237609914021089E-3</v>
      </c>
      <c r="K4" s="89">
        <f>'opt 1'!J3</f>
        <v>7.6261253115085933E-3</v>
      </c>
      <c r="L4" s="89">
        <f>'opt 1'!K3</f>
        <v>1.6006086588236572</v>
      </c>
      <c r="M4" s="89">
        <f>'opt 1'!L3</f>
        <v>2.2612196288118464E-3</v>
      </c>
      <c r="N4" s="89">
        <f>'opt 1'!M3</f>
        <v>1.3740766327042508</v>
      </c>
      <c r="O4" s="89">
        <f>'opt 1'!N3</f>
        <v>0.10882959025400381</v>
      </c>
      <c r="P4" s="89">
        <f>'opt 1'!O3</f>
        <v>0</v>
      </c>
      <c r="Q4" s="89">
        <f>'opt 1'!P3</f>
        <v>5.6100920468972061E-2</v>
      </c>
      <c r="R4" s="89">
        <f>'opt 1'!Q3</f>
        <v>0</v>
      </c>
      <c r="S4" s="89">
        <f>'opt 1'!R3</f>
        <v>0</v>
      </c>
      <c r="T4" s="89">
        <f>'opt 1'!S3</f>
        <v>0</v>
      </c>
      <c r="U4" s="89">
        <f>'opt 1'!T3</f>
        <v>0</v>
      </c>
      <c r="V4" s="89">
        <f>'opt 1'!U3</f>
        <v>0</v>
      </c>
      <c r="W4" s="89">
        <f>'opt 1'!V3</f>
        <v>0</v>
      </c>
      <c r="X4" s="89">
        <f>'opt 1'!W3</f>
        <v>0</v>
      </c>
      <c r="Y4" s="89">
        <f>'opt 1'!X3</f>
        <v>0</v>
      </c>
      <c r="Z4" s="89">
        <f>'opt 1'!Y3</f>
        <v>0</v>
      </c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</row>
    <row r="5" spans="1:53" ht="21" x14ac:dyDescent="0.35">
      <c r="A5" s="89" t="s">
        <v>36</v>
      </c>
      <c r="B5" s="89">
        <f>100-C5-D5-E5-F5-G5-H5-I5-J5-K5-L5-M5-N5-O5</f>
        <v>95.129458622201113</v>
      </c>
      <c r="C5" s="149">
        <f>C4+D4+E4+F4</f>
        <v>3.0806052622011419</v>
      </c>
      <c r="D5" s="158"/>
      <c r="E5" s="159"/>
      <c r="F5" s="159"/>
      <c r="G5" s="159">
        <f>G2+H4+I4+J4+K4</f>
        <v>2.2135726422297549E-2</v>
      </c>
      <c r="H5" s="159"/>
      <c r="I5" s="159"/>
      <c r="J5" s="149"/>
      <c r="K5" s="149"/>
      <c r="L5" s="7">
        <f>L4</f>
        <v>1.6006086588236572</v>
      </c>
      <c r="M5" s="7">
        <f>M4+P4+Q4+R4+S4+T4+U4+V4+W4+X4+Y4+Z4</f>
        <v>5.8362140097783906E-2</v>
      </c>
      <c r="N5" s="7">
        <f>N2+O4</f>
        <v>0.10882959025400381</v>
      </c>
      <c r="O5" s="7"/>
      <c r="P5" s="7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</row>
    <row r="6" spans="1:53" ht="21" x14ac:dyDescent="0.35">
      <c r="A6" s="89"/>
      <c r="B6" s="8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</row>
    <row r="7" spans="1:53" ht="21" x14ac:dyDescent="0.35">
      <c r="A7" s="89" t="s">
        <v>92</v>
      </c>
      <c r="B7" s="139">
        <f>100-C7-D7-E7-F7-G7-H7-I7-J7-K7-L7-M7-N7-O7-P7-Q7-R7-S7-T7-U7-V7-W7-X7-Y7-Z7</f>
        <v>101.52608031031072</v>
      </c>
      <c r="C7" s="156">
        <f>C2-D4-E4-F4</f>
        <v>-1.3390140731654472</v>
      </c>
      <c r="D7" s="156">
        <f>D2</f>
        <v>0</v>
      </c>
      <c r="E7" s="156"/>
      <c r="F7" s="156"/>
      <c r="G7" s="156">
        <f>G2-H4-I4-J4-K4</f>
        <v>-2.2135726422297549E-2</v>
      </c>
      <c r="H7" s="156"/>
      <c r="I7" s="156"/>
      <c r="J7" s="156"/>
      <c r="K7" s="156"/>
      <c r="L7" s="156">
        <f>L2</f>
        <v>0</v>
      </c>
      <c r="M7" s="156">
        <f>M2-P4-Q4-R4-S4-T4-U4-V4-W4-X4-Y4-Z4</f>
        <v>-5.6100920468972061E-2</v>
      </c>
      <c r="N7" s="156">
        <f>N2-O4</f>
        <v>-0.10882959025400381</v>
      </c>
      <c r="O7" s="156"/>
      <c r="P7" s="156"/>
      <c r="Q7" s="177"/>
      <c r="R7" s="177"/>
      <c r="S7" s="177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</row>
    <row r="8" spans="1:53" ht="21" x14ac:dyDescent="0.35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</row>
    <row r="9" spans="1:53" ht="21" x14ac:dyDescent="0.35">
      <c r="A9" s="89"/>
      <c r="B9" s="89"/>
      <c r="C9" s="89"/>
      <c r="D9" s="89"/>
      <c r="E9" s="89"/>
      <c r="F9" s="89" t="s">
        <v>7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</row>
    <row r="10" spans="1:53" ht="21" x14ac:dyDescent="0.35">
      <c r="A10" s="89" t="s">
        <v>32</v>
      </c>
      <c r="B10" s="180"/>
      <c r="C10" s="180"/>
      <c r="D10" s="89"/>
      <c r="E10" s="180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</row>
    <row r="11" spans="1:53" ht="21" x14ac:dyDescent="0.35">
      <c r="A11" s="89" t="s">
        <v>33</v>
      </c>
      <c r="B11" s="181"/>
      <c r="C11" s="181"/>
      <c r="D11" s="89"/>
      <c r="E11" s="181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</row>
    <row r="12" spans="1:53" ht="21" x14ac:dyDescent="0.35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</row>
    <row r="13" spans="1:53" ht="21" x14ac:dyDescent="0.35">
      <c r="A13" s="89"/>
      <c r="B13" s="89" t="s">
        <v>14</v>
      </c>
      <c r="C13" s="180" t="s">
        <v>56</v>
      </c>
      <c r="D13" s="180" t="s">
        <v>15</v>
      </c>
      <c r="E13" s="181" t="s">
        <v>8</v>
      </c>
      <c r="F13" s="180" t="s">
        <v>9</v>
      </c>
      <c r="G13" s="180" t="s">
        <v>57</v>
      </c>
      <c r="H13" s="181" t="s">
        <v>58</v>
      </c>
      <c r="I13" s="180" t="s">
        <v>77</v>
      </c>
      <c r="J13" s="181" t="s">
        <v>13</v>
      </c>
      <c r="K13" s="180" t="s">
        <v>16</v>
      </c>
      <c r="L13" s="180" t="s">
        <v>55</v>
      </c>
      <c r="M13" s="181" t="s">
        <v>44</v>
      </c>
      <c r="N13" s="181" t="s">
        <v>10</v>
      </c>
      <c r="O13" s="180" t="s">
        <v>12</v>
      </c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</row>
    <row r="14" spans="1:53" ht="21" x14ac:dyDescent="0.35">
      <c r="A14" s="89" t="s">
        <v>39</v>
      </c>
      <c r="B14" s="89">
        <f>100-(C14+D14+E14+F14+G14+H14+I14+J14+K14+L14+M14+N14+O14)</f>
        <v>99.549077957567704</v>
      </c>
      <c r="C14" s="89">
        <f>C5-C1</f>
        <v>0</v>
      </c>
      <c r="D14" s="89">
        <f>D5-D1</f>
        <v>-1.3390140731654472</v>
      </c>
      <c r="E14" s="89">
        <f t="shared" ref="E14:I14" si="1">E5</f>
        <v>0</v>
      </c>
      <c r="F14" s="89">
        <f t="shared" si="1"/>
        <v>0</v>
      </c>
      <c r="G14" s="89">
        <f t="shared" si="1"/>
        <v>2.2135726422297549E-2</v>
      </c>
      <c r="H14" s="89">
        <f t="shared" si="1"/>
        <v>0</v>
      </c>
      <c r="I14" s="89">
        <f t="shared" si="1"/>
        <v>0</v>
      </c>
      <c r="J14" s="89">
        <f>J5-J1</f>
        <v>0</v>
      </c>
      <c r="K14" s="89">
        <f>K5-K1</f>
        <v>0</v>
      </c>
      <c r="L14" s="89">
        <f t="shared" ref="L14:O14" si="2">L5</f>
        <v>1.6006086588236572</v>
      </c>
      <c r="M14" s="89">
        <f t="shared" si="2"/>
        <v>5.8362140097783906E-2</v>
      </c>
      <c r="N14" s="89">
        <f t="shared" si="2"/>
        <v>0.10882959025400381</v>
      </c>
      <c r="O14" s="89">
        <f t="shared" si="2"/>
        <v>0</v>
      </c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</row>
    <row r="15" spans="1:53" ht="21" x14ac:dyDescent="0.3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</row>
    <row r="16" spans="1:53" ht="21" x14ac:dyDescent="0.3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</row>
    <row r="17" spans="1:53" ht="21" x14ac:dyDescent="0.35">
      <c r="A17" s="89"/>
      <c r="B17" s="210" t="s">
        <v>14</v>
      </c>
      <c r="C17" s="210" t="s">
        <v>15</v>
      </c>
      <c r="D17" s="210" t="s">
        <v>8</v>
      </c>
      <c r="E17" s="210" t="s">
        <v>9</v>
      </c>
      <c r="F17" s="210" t="s">
        <v>234</v>
      </c>
      <c r="G17" s="210" t="s">
        <v>56</v>
      </c>
      <c r="H17" s="210" t="s">
        <v>57</v>
      </c>
      <c r="I17" s="210" t="s">
        <v>58</v>
      </c>
      <c r="J17" s="210" t="s">
        <v>77</v>
      </c>
      <c r="K17" s="210" t="s">
        <v>204</v>
      </c>
      <c r="L17" s="210" t="s">
        <v>16</v>
      </c>
      <c r="M17" s="210" t="s">
        <v>12</v>
      </c>
      <c r="N17" s="210" t="s">
        <v>44</v>
      </c>
      <c r="O17" s="210" t="s">
        <v>55</v>
      </c>
      <c r="P17" s="210" t="s">
        <v>17</v>
      </c>
      <c r="Q17" s="210" t="s">
        <v>80</v>
      </c>
      <c r="R17" s="210" t="s">
        <v>81</v>
      </c>
      <c r="S17" s="210" t="s">
        <v>82</v>
      </c>
      <c r="T17" s="210" t="s">
        <v>83</v>
      </c>
      <c r="U17" s="210" t="s">
        <v>45</v>
      </c>
      <c r="V17" s="210" t="s">
        <v>43</v>
      </c>
      <c r="W17" s="210" t="s">
        <v>13</v>
      </c>
      <c r="X17" s="210" t="s">
        <v>0</v>
      </c>
      <c r="Y17" s="210" t="s">
        <v>11</v>
      </c>
      <c r="Z17" s="210" t="s">
        <v>10</v>
      </c>
      <c r="AA17" s="211" t="s">
        <v>14</v>
      </c>
      <c r="AB17" s="212" t="s">
        <v>15</v>
      </c>
      <c r="AC17" s="213" t="s">
        <v>8</v>
      </c>
      <c r="AD17" s="214" t="s">
        <v>9</v>
      </c>
      <c r="AE17" s="213" t="s">
        <v>234</v>
      </c>
      <c r="AF17" s="213" t="s">
        <v>56</v>
      </c>
      <c r="AG17" s="214" t="s">
        <v>57</v>
      </c>
      <c r="AH17" s="213" t="s">
        <v>58</v>
      </c>
      <c r="AI17" s="215" t="s">
        <v>77</v>
      </c>
      <c r="AJ17" s="216" t="s">
        <v>204</v>
      </c>
      <c r="AK17" s="216" t="s">
        <v>16</v>
      </c>
      <c r="AL17" s="215" t="s">
        <v>12</v>
      </c>
      <c r="AM17" s="215" t="s">
        <v>44</v>
      </c>
      <c r="AN17" s="216" t="s">
        <v>55</v>
      </c>
      <c r="AO17" s="210" t="s">
        <v>17</v>
      </c>
      <c r="AP17" s="210" t="s">
        <v>80</v>
      </c>
      <c r="AQ17" s="210" t="s">
        <v>81</v>
      </c>
      <c r="AR17" s="210" t="s">
        <v>82</v>
      </c>
      <c r="AS17" s="210" t="s">
        <v>83</v>
      </c>
      <c r="AT17" s="210" t="s">
        <v>45</v>
      </c>
      <c r="AU17" s="210" t="s">
        <v>43</v>
      </c>
      <c r="AV17" s="210" t="s">
        <v>13</v>
      </c>
      <c r="AW17" s="210" t="s">
        <v>0</v>
      </c>
      <c r="AX17" s="210" t="s">
        <v>11</v>
      </c>
      <c r="AY17" s="210" t="s">
        <v>10</v>
      </c>
      <c r="AZ17" s="89"/>
      <c r="BA17" s="89"/>
    </row>
    <row r="18" spans="1:53" ht="21" x14ac:dyDescent="0.35">
      <c r="A18" s="89"/>
      <c r="B18" s="217">
        <f>100-C18-D18-E18-F18-G18-H18-I18-J18-K18-L18-M18-N18-O18-P18-Q18-R18-S18-T18-U18-V18-W18-X18-Y18-Z18</f>
        <v>100</v>
      </c>
      <c r="C18" s="218">
        <f>C7</f>
        <v>-1.3390140731654472</v>
      </c>
      <c r="D18" s="218">
        <f t="shared" ref="D18:Z18" si="3">D4</f>
        <v>1.3390140731654472</v>
      </c>
      <c r="E18" s="218">
        <f t="shared" si="3"/>
        <v>0</v>
      </c>
      <c r="F18" s="218">
        <f t="shared" si="3"/>
        <v>0</v>
      </c>
      <c r="G18" s="218">
        <f>G7</f>
        <v>-2.2135726422297549E-2</v>
      </c>
      <c r="H18" s="218">
        <f t="shared" si="3"/>
        <v>8.8718546811123438E-3</v>
      </c>
      <c r="I18" s="218">
        <f t="shared" si="3"/>
        <v>1.7139854382745025E-3</v>
      </c>
      <c r="J18" s="218">
        <f t="shared" si="3"/>
        <v>3.9237609914021089E-3</v>
      </c>
      <c r="K18" s="218">
        <f t="shared" si="3"/>
        <v>7.6261253115085933E-3</v>
      </c>
      <c r="L18" s="218">
        <f>L7</f>
        <v>0</v>
      </c>
      <c r="M18" s="218">
        <f>M7</f>
        <v>-5.6100920468972061E-2</v>
      </c>
      <c r="N18" s="218">
        <f>N7</f>
        <v>-0.10882959025400381</v>
      </c>
      <c r="O18" s="218">
        <f t="shared" si="3"/>
        <v>0.10882959025400381</v>
      </c>
      <c r="P18" s="218">
        <f t="shared" si="3"/>
        <v>0</v>
      </c>
      <c r="Q18" s="218">
        <f t="shared" si="3"/>
        <v>5.6100920468972061E-2</v>
      </c>
      <c r="R18" s="218">
        <f t="shared" si="3"/>
        <v>0</v>
      </c>
      <c r="S18" s="218">
        <f t="shared" si="3"/>
        <v>0</v>
      </c>
      <c r="T18" s="218">
        <f t="shared" si="3"/>
        <v>0</v>
      </c>
      <c r="U18" s="218">
        <f t="shared" si="3"/>
        <v>0</v>
      </c>
      <c r="V18" s="218">
        <f t="shared" si="3"/>
        <v>0</v>
      </c>
      <c r="W18" s="218">
        <f t="shared" si="3"/>
        <v>0</v>
      </c>
      <c r="X18" s="218">
        <f t="shared" si="3"/>
        <v>0</v>
      </c>
      <c r="Y18" s="218">
        <f t="shared" si="3"/>
        <v>0</v>
      </c>
      <c r="Z18" s="218">
        <f t="shared" si="3"/>
        <v>0</v>
      </c>
      <c r="AA18" s="219">
        <v>55.84</v>
      </c>
      <c r="AB18" s="219">
        <v>28.0855</v>
      </c>
      <c r="AC18" s="219">
        <v>58.693399999999997</v>
      </c>
      <c r="AD18" s="219">
        <v>63.545999999999999</v>
      </c>
      <c r="AE18" s="219">
        <v>65.38</v>
      </c>
      <c r="AF18" s="219">
        <v>12.01</v>
      </c>
      <c r="AG18" s="219">
        <v>30.973762000000001</v>
      </c>
      <c r="AH18" s="219">
        <v>32.064999999999998</v>
      </c>
      <c r="AI18" s="219">
        <v>14.0067</v>
      </c>
      <c r="AJ18" s="219">
        <v>10.81</v>
      </c>
      <c r="AK18" s="219">
        <v>54.938043999999998</v>
      </c>
      <c r="AL18" s="219">
        <v>26.981539999999999</v>
      </c>
      <c r="AM18" s="219">
        <v>51.996099999999998</v>
      </c>
      <c r="AN18" s="219">
        <v>95.95</v>
      </c>
      <c r="AO18" s="220">
        <v>47.866999999999997</v>
      </c>
      <c r="AP18" s="220">
        <v>50.941499999999998</v>
      </c>
      <c r="AQ18" s="220">
        <v>92.906369999999995</v>
      </c>
      <c r="AR18" s="220">
        <v>183.84</v>
      </c>
      <c r="AS18" s="220">
        <v>180.94788</v>
      </c>
      <c r="AT18" s="220">
        <v>91.224000000000004</v>
      </c>
      <c r="AU18" s="220">
        <v>58.933194999999998</v>
      </c>
      <c r="AV18" s="220">
        <v>24.305</v>
      </c>
      <c r="AW18" s="219">
        <v>121.76</v>
      </c>
      <c r="AX18" s="219">
        <v>207.2</v>
      </c>
      <c r="AY18" s="219">
        <v>118.71</v>
      </c>
      <c r="AZ18" s="89"/>
      <c r="BA18" s="89"/>
    </row>
    <row r="19" spans="1:53" ht="21" x14ac:dyDescent="0.35">
      <c r="A19" s="89"/>
      <c r="B19" s="217">
        <f>100*((((B18)*(AA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99.159816415528454</v>
      </c>
      <c r="C19" s="217">
        <f>100*((((C18)*(AB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-0.66781720848103243</v>
      </c>
      <c r="D19" s="217">
        <f>100*((((D18)*(AC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1.3956120611796345</v>
      </c>
      <c r="E19" s="217">
        <f>100*((((E18)*(AD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F19" s="217">
        <f>100*((((F18)*(AE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G19" s="217">
        <f>100*((((G18)*(AF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-4.720924886245567E-3</v>
      </c>
      <c r="H19" s="217">
        <f>100*((((H18)*(AG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4.879762451677044E-3</v>
      </c>
      <c r="I19" s="217">
        <f>100*((((I18)*(AH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9.7595249033540865E-4</v>
      </c>
      <c r="J19" s="217">
        <f>100*((((J18)*(AI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9.7595249033540865E-4</v>
      </c>
      <c r="K19" s="217">
        <f>100*((((K18)*(AJ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1.4639287355031135E-3</v>
      </c>
      <c r="L19" s="217">
        <f>100*((((L18)*(AK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M19" s="217">
        <f>100*((((M18)*(AL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-2.6879861411940972E-2</v>
      </c>
      <c r="N19" s="217">
        <f>100*((((N18)*(AM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-0.10048658075787908</v>
      </c>
      <c r="O19" s="217">
        <f>100*((((O18)*(AN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0.18543097316372764</v>
      </c>
      <c r="P19" s="217">
        <f>100*((((P18)*(AO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Q19" s="217">
        <f>100*((((Q18)*(AP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5.0749529497441256E-2</v>
      </c>
      <c r="R19" s="217">
        <f>100*((((R18)*(AQ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S19" s="217">
        <f>100*((((S18)*(AR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T19" s="217">
        <f>100*((((T18)*(AS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U19" s="217">
        <f>100*((((U18)*(AT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V19" s="217">
        <f>100*((((V18)*(AU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W19" s="217">
        <f>100*((((W18)*(AV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X19" s="219">
        <f>100*((((X18)*(AW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Y19" s="219">
        <f>100*((((Y18)*(AX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Z19" s="219">
        <f>100*((((Z18)*(AY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89"/>
      <c r="BA19" s="89"/>
    </row>
    <row r="20" spans="1:53" ht="21" x14ac:dyDescent="0.35">
      <c r="A20" s="89"/>
      <c r="B20" s="89"/>
      <c r="C20" s="89"/>
      <c r="D20" s="89"/>
      <c r="E20" s="89" t="e">
        <f>E19/'opt 6'!G6</f>
        <v>#DIV/0!</v>
      </c>
      <c r="F20" s="89" t="e">
        <f>F19/'opt 6'!G6</f>
        <v>#DIV/0!</v>
      </c>
      <c r="G20" s="89" t="e">
        <f>G19/'opt 6'!G6</f>
        <v>#DIV/0!</v>
      </c>
      <c r="H20" s="89" t="e">
        <f>H19/'opt 6'!G6</f>
        <v>#DIV/0!</v>
      </c>
      <c r="I20" s="89" t="e">
        <f>I19/'opt 6'!G6</f>
        <v>#DIV/0!</v>
      </c>
      <c r="J20" s="89"/>
      <c r="K20" s="89"/>
      <c r="L20" s="89" t="e">
        <f>L19/'opt 6'!G6</f>
        <v>#DIV/0!</v>
      </c>
      <c r="M20" s="89" t="e">
        <f>M19/'opt 6'!G6</f>
        <v>#DIV/0!</v>
      </c>
      <c r="N20" s="89" t="e">
        <f>N19/'opt 6'!G6</f>
        <v>#DIV/0!</v>
      </c>
      <c r="O20" s="89" t="e">
        <f>O19/'opt 6'!G6</f>
        <v>#DIV/0!</v>
      </c>
      <c r="P20" s="89" t="e">
        <f>P19/'opt 6'!G6</f>
        <v>#DIV/0!</v>
      </c>
      <c r="Q20" s="89" t="e">
        <f>Q19/'opt 6'!G6</f>
        <v>#DIV/0!</v>
      </c>
      <c r="R20" s="89" t="e">
        <f>R19/'opt 6'!G6</f>
        <v>#DIV/0!</v>
      </c>
      <c r="S20" s="89" t="e">
        <f>S19/'opt 6'!G6</f>
        <v>#DIV/0!</v>
      </c>
      <c r="T20" s="89" t="e">
        <f>T19/'opt 6'!G6</f>
        <v>#DIV/0!</v>
      </c>
      <c r="U20" s="89" t="e">
        <f>U19/'opt 6'!G6</f>
        <v>#DIV/0!</v>
      </c>
      <c r="V20" s="89" t="e">
        <f>V19/'opt 6'!G6</f>
        <v>#DIV/0!</v>
      </c>
      <c r="W20" s="89" t="e">
        <f>W19/'opt 6'!G6</f>
        <v>#DIV/0!</v>
      </c>
      <c r="X20" s="89" t="e">
        <f>X19/'opt 6'!G6</f>
        <v>#DIV/0!</v>
      </c>
      <c r="Y20" s="89" t="e">
        <f>Y19/'opt 6'!G6</f>
        <v>#DIV/0!</v>
      </c>
      <c r="Z20" s="89" t="e">
        <f>Z19/'opt 6'!G6</f>
        <v>#DIV/0!</v>
      </c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</row>
    <row r="21" spans="1:53" ht="21" x14ac:dyDescent="0.3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</row>
    <row r="22" spans="1:53" ht="21" x14ac:dyDescent="0.3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</row>
    <row r="23" spans="1:53" ht="21" x14ac:dyDescent="0.3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</row>
    <row r="24" spans="1:53" ht="21" x14ac:dyDescent="0.3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</row>
    <row r="25" spans="1:53" ht="21" x14ac:dyDescent="0.3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</row>
    <row r="26" spans="1:53" ht="21" x14ac:dyDescent="0.35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</row>
    <row r="27" spans="1:53" ht="21" x14ac:dyDescent="0.35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</row>
    <row r="28" spans="1:53" ht="21" x14ac:dyDescent="0.35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</row>
    <row r="29" spans="1:53" ht="21" x14ac:dyDescent="0.35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</row>
  </sheetData>
  <pageMargins left="0.7" right="0.7" top="0.75" bottom="0.75" header="0.3" footer="0.3"/>
  <pageSetup paperSize="9" orientation="portrait" verticalDpi="597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0FD1-DAB8-4C1F-92BC-5C3FADB0315D}">
  <dimension ref="A1:AX5"/>
  <sheetViews>
    <sheetView zoomScale="136" zoomScaleNormal="136" workbookViewId="0">
      <selection activeCell="D9" sqref="D9"/>
    </sheetView>
  </sheetViews>
  <sheetFormatPr baseColWidth="10" defaultRowHeight="15" x14ac:dyDescent="0.25"/>
  <cols>
    <col min="1" max="1" width="13.28515625" customWidth="1"/>
    <col min="2" max="2" width="12" customWidth="1"/>
    <col min="4" max="4" width="10.42578125" customWidth="1"/>
    <col min="5" max="5" width="9" customWidth="1"/>
    <col min="6" max="6" width="9.7109375" customWidth="1"/>
    <col min="7" max="7" width="7.28515625" customWidth="1"/>
    <col min="8" max="8" width="10.85546875" customWidth="1"/>
    <col min="9" max="9" width="15" customWidth="1"/>
    <col min="10" max="10" width="12.5703125" customWidth="1"/>
    <col min="11" max="11" width="10.140625" customWidth="1"/>
    <col min="12" max="12" width="7.28515625" customWidth="1"/>
    <col min="13" max="14" width="6.85546875" customWidth="1"/>
  </cols>
  <sheetData>
    <row r="1" spans="1:50" ht="18" x14ac:dyDescent="0.25">
      <c r="A1" s="210" t="s">
        <v>14</v>
      </c>
      <c r="B1" s="210" t="s">
        <v>15</v>
      </c>
      <c r="C1" s="210" t="s">
        <v>8</v>
      </c>
      <c r="D1" s="210" t="s">
        <v>9</v>
      </c>
      <c r="E1" s="210" t="s">
        <v>234</v>
      </c>
      <c r="F1" s="210" t="s">
        <v>56</v>
      </c>
      <c r="G1" s="210" t="s">
        <v>57</v>
      </c>
      <c r="H1" s="210" t="s">
        <v>58</v>
      </c>
      <c r="I1" s="210" t="s">
        <v>77</v>
      </c>
      <c r="J1" s="210" t="s">
        <v>204</v>
      </c>
      <c r="K1" s="210" t="s">
        <v>16</v>
      </c>
      <c r="L1" s="210" t="s">
        <v>12</v>
      </c>
      <c r="M1" s="210" t="s">
        <v>44</v>
      </c>
      <c r="N1" s="210" t="s">
        <v>55</v>
      </c>
      <c r="O1" s="210" t="s">
        <v>17</v>
      </c>
      <c r="P1" s="210" t="s">
        <v>80</v>
      </c>
      <c r="Q1" s="210" t="s">
        <v>81</v>
      </c>
      <c r="R1" s="210" t="s">
        <v>82</v>
      </c>
      <c r="S1" s="210" t="s">
        <v>83</v>
      </c>
      <c r="T1" s="210" t="s">
        <v>45</v>
      </c>
      <c r="U1" s="210" t="s">
        <v>43</v>
      </c>
      <c r="V1" s="210" t="s">
        <v>13</v>
      </c>
      <c r="W1" s="210" t="s">
        <v>0</v>
      </c>
      <c r="X1" s="210" t="s">
        <v>11</v>
      </c>
      <c r="Y1" s="210" t="s">
        <v>10</v>
      </c>
      <c r="Z1" s="210" t="s">
        <v>14</v>
      </c>
      <c r="AA1" s="210" t="s">
        <v>15</v>
      </c>
      <c r="AB1" s="210" t="s">
        <v>8</v>
      </c>
      <c r="AC1" s="210" t="s">
        <v>9</v>
      </c>
      <c r="AD1" s="210" t="s">
        <v>234</v>
      </c>
      <c r="AE1" s="210" t="s">
        <v>56</v>
      </c>
      <c r="AF1" s="210" t="s">
        <v>57</v>
      </c>
      <c r="AG1" s="210" t="s">
        <v>58</v>
      </c>
      <c r="AH1" s="210" t="s">
        <v>77</v>
      </c>
      <c r="AI1" s="210" t="s">
        <v>204</v>
      </c>
      <c r="AJ1" s="210" t="s">
        <v>16</v>
      </c>
      <c r="AK1" s="210" t="s">
        <v>12</v>
      </c>
      <c r="AL1" s="210" t="s">
        <v>44</v>
      </c>
      <c r="AM1" s="210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13</v>
      </c>
      <c r="AV1" s="210" t="s">
        <v>0</v>
      </c>
      <c r="AW1" s="210" t="s">
        <v>11</v>
      </c>
      <c r="AX1" s="210" t="s">
        <v>10</v>
      </c>
    </row>
    <row r="2" spans="1:50" ht="18.75" x14ac:dyDescent="0.3">
      <c r="A2" s="36">
        <f>100-B2-C2-D2-E2-F2-G2-H2-I2-J2-K2-L2-M2-N2-O2-P2-Q2-R2-S2-T2-U2-V2-W2-X2-Y2</f>
        <v>57.650326735723645</v>
      </c>
      <c r="B2" s="37">
        <f>'Tab1EQ 5_2'!C5</f>
        <v>3.0806052622011419</v>
      </c>
      <c r="C2" s="37"/>
      <c r="D2" s="37">
        <f>'Tab1EQ 5_2'!E5</f>
        <v>0</v>
      </c>
      <c r="E2" s="37">
        <f>'Tab1EQ 5_2'!F5</f>
        <v>0</v>
      </c>
      <c r="F2" s="37">
        <f>'Tab1EQ 5_2'!G5</f>
        <v>12.376058931764534</v>
      </c>
      <c r="G2" s="37">
        <f>'Tab1EQ 5_2'!H5</f>
        <v>0</v>
      </c>
      <c r="H2" s="37">
        <f>'Tab1EQ 5_2'!I5</f>
        <v>0</v>
      </c>
      <c r="I2" s="37">
        <f>'Tab1EQ 5_2'!J5</f>
        <v>0</v>
      </c>
      <c r="J2" s="37">
        <f>'Tab1EQ 5_2'!K5</f>
        <v>0</v>
      </c>
      <c r="K2" s="37">
        <f>'Tab1EQ 5_2'!L5</f>
        <v>1.6006086588236572</v>
      </c>
      <c r="L2" s="37">
        <f>'Tab1EQ 5_2'!M5</f>
        <v>5.8362140097783906E-2</v>
      </c>
      <c r="M2" s="37">
        <f>'Tab1EQ 5_2'!N5</f>
        <v>25.234038271389231</v>
      </c>
      <c r="N2" s="37">
        <f>'Tab1EQ 5_2'!O5</f>
        <v>0</v>
      </c>
      <c r="O2" s="37">
        <f>'Tab1EQ 5_2'!P5</f>
        <v>0</v>
      </c>
      <c r="P2" s="37">
        <f>'Tab1EQ 5_2'!Q5</f>
        <v>0</v>
      </c>
      <c r="Q2" s="37">
        <f>'Tab1EQ 5_2'!R5</f>
        <v>0</v>
      </c>
      <c r="R2" s="37">
        <f>'Tab1EQ 5_2'!S5</f>
        <v>0</v>
      </c>
      <c r="S2" s="37">
        <f>'Tab1EQ 5_2'!T5</f>
        <v>0</v>
      </c>
      <c r="T2" s="37">
        <f>'Tab1EQ 5_2'!U5</f>
        <v>0</v>
      </c>
      <c r="U2" s="37">
        <f>'Tab1EQ 5_2'!V5</f>
        <v>0</v>
      </c>
      <c r="V2" s="37">
        <f>'Tab1EQ 5_2'!W5</f>
        <v>0</v>
      </c>
      <c r="W2" s="37">
        <f>'Tab1EQ 5_2'!X5</f>
        <v>0</v>
      </c>
      <c r="X2" s="37">
        <f>'Tab1EQ 5_2'!Y5</f>
        <v>0</v>
      </c>
      <c r="Y2" s="37">
        <f>'Tab1EQ 5_2'!Z5</f>
        <v>0</v>
      </c>
      <c r="Z2" s="68">
        <v>55.84</v>
      </c>
      <c r="AA2" s="7">
        <v>28.0855</v>
      </c>
      <c r="AB2" s="7">
        <v>58.693399999999997</v>
      </c>
      <c r="AC2" s="7">
        <v>63.545999999999999</v>
      </c>
      <c r="AD2" s="7">
        <v>65.38</v>
      </c>
      <c r="AE2" s="7">
        <v>12.01</v>
      </c>
      <c r="AF2" s="7">
        <v>30.973762000000001</v>
      </c>
      <c r="AG2" s="7">
        <v>32.064999999999998</v>
      </c>
      <c r="AH2" s="7">
        <v>14.0067</v>
      </c>
      <c r="AI2" s="7">
        <v>10.81</v>
      </c>
      <c r="AJ2" s="7">
        <v>54.938043999999998</v>
      </c>
      <c r="AK2" s="7">
        <v>26.981539999999999</v>
      </c>
      <c r="AL2" s="7">
        <v>51.996099999999998</v>
      </c>
      <c r="AM2" s="7">
        <v>95.95</v>
      </c>
      <c r="AN2">
        <v>47.866999999999997</v>
      </c>
      <c r="AO2">
        <v>50.941499999999998</v>
      </c>
      <c r="AP2">
        <v>92.906369999999995</v>
      </c>
      <c r="AQ2">
        <v>183.84</v>
      </c>
      <c r="AR2">
        <v>180.94788</v>
      </c>
      <c r="AS2">
        <v>91.224000000000004</v>
      </c>
      <c r="AT2">
        <v>58.933194999999998</v>
      </c>
      <c r="AU2">
        <v>24.305</v>
      </c>
      <c r="AV2" s="7">
        <v>121.76</v>
      </c>
      <c r="AW2" s="7">
        <v>207.2</v>
      </c>
      <c r="AX2" s="7">
        <v>118.71</v>
      </c>
    </row>
    <row r="3" spans="1:50" ht="18.75" x14ac:dyDescent="0.3">
      <c r="A3" s="36">
        <f>100*((((A2)*(Z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66.294060225350506</v>
      </c>
      <c r="B3" s="36">
        <f>100*((((B2)*(AA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1.7817454102060588</v>
      </c>
      <c r="C3" s="36">
        <f>100*((((C2)*(AB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D3" s="36">
        <f>100*((((D2)*(AC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E3" s="36">
        <f>100*((((E2)*(AD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F3" s="36">
        <f>100*((((F2)*(AE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3.0609258703792963</v>
      </c>
      <c r="G3" s="36">
        <f>100*((((G2)*(AF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H3" s="36">
        <f>100*((((H2)*(AG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I3" s="36">
        <f>100*((((I2)*(AH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J3" s="36">
        <f>100*((((J2)*(AI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K3" s="36">
        <f>100*((((K2)*(AJ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1.8108638150550285</v>
      </c>
      <c r="L3" s="36">
        <f>100*((((L2)*(AK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3.2428389334233587E-2</v>
      </c>
      <c r="M3" s="36">
        <f>100*((((M2)*(AL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27.019976289674879</v>
      </c>
      <c r="N3" s="36">
        <f>100*((((N2)*(AM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W2))+((X2)/(AW2))+((Y2)/(AX2)))))</f>
        <v>0</v>
      </c>
      <c r="P3" s="36">
        <f>100*((((P2)*(AO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Q3" s="36">
        <f>100*((((Q2)*(AP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R3" s="36">
        <f>100*((((R2)*(AQ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S3" s="36">
        <f>100*((((S2)*(AR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T3" s="36">
        <f>100*((((T2)*(AS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U3" s="36">
        <f>100*((((U2)*(AT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V3" s="36">
        <f>100*((((V2)*(AU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W3" s="7">
        <f>100*((((W2)*(AV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X3" s="7">
        <f>100*((((X2)*(AW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Y3" s="7">
        <f>100*((((Y2)*(AX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Z3" s="68">
        <v>55.84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50" ht="15.75" x14ac:dyDescent="0.25">
      <c r="A4" s="8"/>
    </row>
    <row r="5" spans="1:50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412B-FDE7-466C-848D-95D2C54C15FF}">
  <dimension ref="A1:AY16"/>
  <sheetViews>
    <sheetView zoomScale="77" zoomScaleNormal="77" workbookViewId="0">
      <selection activeCell="L28" sqref="L28"/>
    </sheetView>
  </sheetViews>
  <sheetFormatPr baseColWidth="10" defaultRowHeight="15" x14ac:dyDescent="0.25"/>
  <cols>
    <col min="1" max="1" width="14" customWidth="1"/>
    <col min="2" max="2" width="14.42578125" customWidth="1"/>
    <col min="3" max="3" width="16.28515625" customWidth="1"/>
  </cols>
  <sheetData>
    <row r="1" spans="1:51" ht="18" x14ac:dyDescent="0.25">
      <c r="A1" s="210" t="s">
        <v>14</v>
      </c>
      <c r="B1" s="210" t="s">
        <v>15</v>
      </c>
      <c r="C1" s="210" t="s">
        <v>8</v>
      </c>
      <c r="D1" s="210" t="s">
        <v>9</v>
      </c>
      <c r="E1" s="210" t="s">
        <v>234</v>
      </c>
      <c r="F1" s="210" t="s">
        <v>56</v>
      </c>
      <c r="G1" s="210" t="s">
        <v>57</v>
      </c>
      <c r="H1" s="210" t="s">
        <v>58</v>
      </c>
      <c r="I1" s="210" t="s">
        <v>77</v>
      </c>
      <c r="J1" s="210" t="s">
        <v>204</v>
      </c>
      <c r="K1" s="210" t="s">
        <v>16</v>
      </c>
      <c r="L1" s="210" t="s">
        <v>12</v>
      </c>
      <c r="M1" s="210" t="s">
        <v>44</v>
      </c>
      <c r="N1" s="210" t="s">
        <v>55</v>
      </c>
      <c r="O1" s="210" t="s">
        <v>17</v>
      </c>
      <c r="P1" s="210" t="s">
        <v>80</v>
      </c>
      <c r="Q1" s="210" t="s">
        <v>81</v>
      </c>
      <c r="R1" s="210" t="s">
        <v>82</v>
      </c>
      <c r="S1" s="210" t="s">
        <v>83</v>
      </c>
      <c r="T1" s="210" t="s">
        <v>45</v>
      </c>
      <c r="U1" s="210" t="s">
        <v>43</v>
      </c>
      <c r="V1" s="210" t="s">
        <v>13</v>
      </c>
      <c r="W1" s="210" t="s">
        <v>0</v>
      </c>
      <c r="X1" s="210" t="s">
        <v>11</v>
      </c>
      <c r="Y1" s="210" t="s">
        <v>10</v>
      </c>
      <c r="Z1" s="210" t="s">
        <v>14</v>
      </c>
      <c r="AA1" s="210" t="s">
        <v>15</v>
      </c>
      <c r="AB1" s="210" t="s">
        <v>8</v>
      </c>
      <c r="AC1" s="210" t="s">
        <v>9</v>
      </c>
      <c r="AD1" s="210" t="s">
        <v>234</v>
      </c>
      <c r="AE1" s="210" t="s">
        <v>56</v>
      </c>
      <c r="AF1" s="210" t="s">
        <v>57</v>
      </c>
      <c r="AG1" s="210" t="s">
        <v>58</v>
      </c>
      <c r="AH1" s="210" t="s">
        <v>77</v>
      </c>
      <c r="AI1" s="210" t="s">
        <v>204</v>
      </c>
      <c r="AJ1" s="210" t="s">
        <v>16</v>
      </c>
      <c r="AK1" s="210" t="s">
        <v>12</v>
      </c>
      <c r="AL1" s="210" t="s">
        <v>44</v>
      </c>
      <c r="AM1" s="210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13</v>
      </c>
      <c r="AV1" s="210" t="s">
        <v>0</v>
      </c>
      <c r="AW1" s="210" t="s">
        <v>11</v>
      </c>
      <c r="AX1" s="210" t="s">
        <v>10</v>
      </c>
    </row>
    <row r="2" spans="1:51" ht="23.25" x14ac:dyDescent="0.35">
      <c r="A2" s="36">
        <f>100-B2-C2-D2-E2-F2-G2-H2-I2-J2-K2-L2-M2-N2-O2-P2-Q2-R2-S2-T2-U2-V2-W2-X2-Y2</f>
        <v>100</v>
      </c>
      <c r="B2" s="71">
        <f>'1.0330_3'!C9</f>
        <v>0</v>
      </c>
      <c r="C2" s="71">
        <f>'1.0330_3'!D9</f>
        <v>0</v>
      </c>
      <c r="D2" s="71">
        <f>'1.0330_3'!E9</f>
        <v>0</v>
      </c>
      <c r="E2" s="71">
        <f>'1.0330_3'!F9</f>
        <v>0</v>
      </c>
      <c r="F2" s="71">
        <f>'1.0330_3'!G9</f>
        <v>0</v>
      </c>
      <c r="G2" s="71">
        <f>'1.0330_3'!H9</f>
        <v>0</v>
      </c>
      <c r="H2" s="71">
        <f>'1.0330_3'!I9</f>
        <v>0</v>
      </c>
      <c r="I2" s="71">
        <f>'1.0330_3'!J9</f>
        <v>0</v>
      </c>
      <c r="J2" s="71">
        <f>'1.0330_3'!K9</f>
        <v>0</v>
      </c>
      <c r="K2" s="71">
        <f>'1.0330_3'!L9</f>
        <v>0</v>
      </c>
      <c r="L2" s="71">
        <f>'1.0330_3'!M9</f>
        <v>0</v>
      </c>
      <c r="M2" s="71">
        <f>'1.0330_3'!N9</f>
        <v>0</v>
      </c>
      <c r="N2" s="71">
        <f>'1.0330_3'!O9</f>
        <v>0</v>
      </c>
      <c r="O2" s="71">
        <f>'1.0330_3'!P9</f>
        <v>0</v>
      </c>
      <c r="P2" s="71">
        <f>'1.0330_3'!Q9</f>
        <v>0</v>
      </c>
      <c r="Q2" s="71">
        <f>'1.0330_3'!R9</f>
        <v>0</v>
      </c>
      <c r="R2" s="71">
        <f>'1.0330_3'!S9</f>
        <v>0</v>
      </c>
      <c r="S2" s="71">
        <f>'1.0330_3'!T9</f>
        <v>0</v>
      </c>
      <c r="T2" s="71">
        <f>'1.0330_3'!U9</f>
        <v>0</v>
      </c>
      <c r="U2" s="71">
        <f>'1.0330_3'!V9</f>
        <v>0</v>
      </c>
      <c r="V2" s="71">
        <f>'1.0330_3'!W9</f>
        <v>0</v>
      </c>
      <c r="W2" s="71">
        <f>'1.0330_3'!X9</f>
        <v>0</v>
      </c>
      <c r="X2" s="71">
        <f>'1.0330_3'!Y9</f>
        <v>0</v>
      </c>
      <c r="Y2" s="71">
        <f>'1.0330_3'!Z9</f>
        <v>0</v>
      </c>
      <c r="Z2" s="68">
        <v>55.84</v>
      </c>
      <c r="AA2" s="7">
        <v>28.0855</v>
      </c>
      <c r="AB2" s="7">
        <v>58.693399999999997</v>
      </c>
      <c r="AC2" s="7">
        <v>63.545999999999999</v>
      </c>
      <c r="AD2" s="7">
        <v>65.38</v>
      </c>
      <c r="AE2" s="7">
        <v>12.01</v>
      </c>
      <c r="AF2" s="7">
        <v>30.973762000000001</v>
      </c>
      <c r="AG2" s="7">
        <v>32.064999999999998</v>
      </c>
      <c r="AH2" s="7">
        <v>14.0067</v>
      </c>
      <c r="AI2" s="7">
        <v>10.81</v>
      </c>
      <c r="AJ2" s="7">
        <v>54.938043999999998</v>
      </c>
      <c r="AK2" s="7">
        <v>26.981539999999999</v>
      </c>
      <c r="AL2" s="7">
        <v>51.996099999999998</v>
      </c>
      <c r="AM2" s="7">
        <v>95.95</v>
      </c>
      <c r="AN2">
        <v>47.866999999999997</v>
      </c>
      <c r="AO2">
        <v>50.941499999999998</v>
      </c>
      <c r="AP2">
        <v>92.906369999999995</v>
      </c>
      <c r="AQ2">
        <v>183.84</v>
      </c>
      <c r="AR2">
        <v>180.94788</v>
      </c>
      <c r="AS2">
        <v>91.224000000000004</v>
      </c>
      <c r="AT2">
        <v>58.933194999999998</v>
      </c>
      <c r="AU2">
        <v>24.305</v>
      </c>
      <c r="AV2" s="7">
        <v>121.76</v>
      </c>
      <c r="AW2" s="7">
        <v>207.2</v>
      </c>
      <c r="AX2" s="7">
        <v>118.71</v>
      </c>
    </row>
    <row r="3" spans="1:51" ht="18.75" x14ac:dyDescent="0.3">
      <c r="A3" s="36">
        <f>100*((((A2)*(Z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100</v>
      </c>
      <c r="B3" s="36">
        <f>100*((((B2)*(AA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C3" s="36">
        <f>100*((((C2)*(AB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D3" s="36">
        <f>100*((((D2)*(AC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E3" s="36">
        <f>100*((((E2)*(AD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F3" s="36">
        <f>100*((((F2)*(AE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G3" s="36">
        <f>100*((((G2)*(AF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H3" s="36">
        <f>100*((((H2)*(AG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I3" s="36">
        <f>100*((((I2)*(AH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J3" s="36">
        <f>100*((((J2)*(AI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K3" s="36">
        <f>100*((((K2)*(AJ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L3" s="36">
        <f>100*((((L2)*(AK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M3" s="36">
        <f>100*((((M2)*(AL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N3" s="36">
        <f>100*((((N2)*(AM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W2))+((X2)/(AW2))+((Y2)/(AX2)))))</f>
        <v>0</v>
      </c>
      <c r="P3" s="36">
        <f>100*((((P2)*(AO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Q3" s="36">
        <f>100*((((Q2)*(AP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R3" s="36">
        <f>100*((((R2)*(AQ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S3" s="36">
        <f>100*((((S2)*(AR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T3" s="36">
        <f>100*((((T2)*(AS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U3" s="36">
        <f>100*((((U2)*(AT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V3" s="36">
        <f>100*((((V2)*(AU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W3" s="7">
        <f>100*((((W2)*(AV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X3" s="7">
        <f>100*((((X2)*(AW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Y3" s="7">
        <f>100*((((Y2)*(AX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Z3" s="68">
        <v>55.84</v>
      </c>
      <c r="AA3" s="7">
        <v>95.94</v>
      </c>
      <c r="AB3" s="7">
        <v>183.85</v>
      </c>
      <c r="AC3" s="7">
        <v>58.933199999999999</v>
      </c>
      <c r="AD3" s="7">
        <v>63.54</v>
      </c>
      <c r="AE3" s="7">
        <v>12.01</v>
      </c>
      <c r="AF3" s="7">
        <v>28.085000000000001</v>
      </c>
      <c r="AG3" s="7">
        <v>47.88</v>
      </c>
      <c r="AH3" s="7">
        <v>58.692999999999998</v>
      </c>
      <c r="AI3" s="7">
        <v>51.99</v>
      </c>
      <c r="AJ3" s="7">
        <v>54.93</v>
      </c>
      <c r="AK3" s="7">
        <v>92.9</v>
      </c>
      <c r="AL3" s="7">
        <v>14.0067</v>
      </c>
      <c r="AM3" s="7">
        <v>26.981539999999999</v>
      </c>
    </row>
    <row r="4" spans="1:51" ht="15.75" x14ac:dyDescent="0.25">
      <c r="A4" s="8"/>
      <c r="B4" s="9"/>
    </row>
    <row r="7" spans="1:51" ht="18.75" x14ac:dyDescent="0.3">
      <c r="A7" s="66" t="s">
        <v>14</v>
      </c>
      <c r="B7" s="66" t="s">
        <v>56</v>
      </c>
      <c r="C7" s="66" t="s">
        <v>15</v>
      </c>
      <c r="D7" s="66" t="s">
        <v>8</v>
      </c>
      <c r="E7" s="66" t="s">
        <v>9</v>
      </c>
      <c r="F7" s="66" t="s">
        <v>57</v>
      </c>
      <c r="G7" s="66" t="s">
        <v>58</v>
      </c>
      <c r="H7" s="66" t="s">
        <v>77</v>
      </c>
      <c r="I7" s="66" t="s">
        <v>13</v>
      </c>
      <c r="J7" s="66" t="s">
        <v>16</v>
      </c>
      <c r="K7" s="66" t="s">
        <v>55</v>
      </c>
      <c r="L7" s="66" t="s">
        <v>44</v>
      </c>
      <c r="M7" s="66" t="s">
        <v>10</v>
      </c>
      <c r="N7" s="66" t="s">
        <v>12</v>
      </c>
      <c r="O7" s="66" t="s">
        <v>80</v>
      </c>
      <c r="P7" s="66" t="s">
        <v>81</v>
      </c>
      <c r="Q7" s="66" t="s">
        <v>82</v>
      </c>
      <c r="R7" s="66" t="s">
        <v>83</v>
      </c>
      <c r="S7" s="66" t="s">
        <v>45</v>
      </c>
      <c r="T7" s="66" t="s">
        <v>17</v>
      </c>
      <c r="U7" s="66" t="s">
        <v>84</v>
      </c>
      <c r="V7" s="66" t="s">
        <v>0</v>
      </c>
      <c r="W7" s="66" t="s">
        <v>11</v>
      </c>
      <c r="X7" s="66" t="s">
        <v>10</v>
      </c>
      <c r="Y7" s="66" t="s">
        <v>46</v>
      </c>
      <c r="Z7" s="67" t="s">
        <v>14</v>
      </c>
      <c r="AA7" s="58" t="s">
        <v>56</v>
      </c>
      <c r="AB7" s="59" t="s">
        <v>15</v>
      </c>
      <c r="AC7" s="60" t="s">
        <v>8</v>
      </c>
      <c r="AD7" s="59" t="s">
        <v>9</v>
      </c>
      <c r="AE7" s="59" t="s">
        <v>57</v>
      </c>
      <c r="AF7" s="60" t="s">
        <v>58</v>
      </c>
      <c r="AG7" s="59" t="s">
        <v>77</v>
      </c>
      <c r="AH7" s="61" t="s">
        <v>204</v>
      </c>
      <c r="AI7" s="62" t="s">
        <v>16</v>
      </c>
      <c r="AJ7" s="62" t="s">
        <v>55</v>
      </c>
      <c r="AK7" s="63" t="s">
        <v>44</v>
      </c>
      <c r="AL7" s="63" t="s">
        <v>43</v>
      </c>
      <c r="AM7" s="62" t="s">
        <v>12</v>
      </c>
      <c r="AN7" s="35" t="s">
        <v>80</v>
      </c>
      <c r="AO7" s="35" t="s">
        <v>81</v>
      </c>
      <c r="AP7" s="35" t="s">
        <v>82</v>
      </c>
      <c r="AQ7" s="35" t="s">
        <v>83</v>
      </c>
      <c r="AR7" s="35" t="s">
        <v>45</v>
      </c>
      <c r="AS7" s="35" t="s">
        <v>17</v>
      </c>
      <c r="AT7" s="35" t="s">
        <v>13</v>
      </c>
      <c r="AU7" s="35" t="s">
        <v>0</v>
      </c>
      <c r="AV7" s="35" t="s">
        <v>11</v>
      </c>
      <c r="AW7" s="35" t="s">
        <v>10</v>
      </c>
      <c r="AX7" s="35" t="s">
        <v>46</v>
      </c>
      <c r="AY7" s="35"/>
    </row>
    <row r="8" spans="1:51" ht="18.75" x14ac:dyDescent="0.3">
      <c r="A8" s="36">
        <f>100-B8-C8-D8-E8-F8-G8-H8-I8-J8-K8-L8-M8-N8-O8-P8-Q8-R8-S8-T8-U8-V8-W8-X8-Y8</f>
        <v>100</v>
      </c>
      <c r="B8" s="37">
        <f>B3</f>
        <v>0</v>
      </c>
      <c r="C8" s="37">
        <f t="shared" ref="C8:Y8" si="0">C3</f>
        <v>0</v>
      </c>
      <c r="D8" s="37">
        <f t="shared" si="0"/>
        <v>0</v>
      </c>
      <c r="E8" s="37">
        <f t="shared" si="0"/>
        <v>0</v>
      </c>
      <c r="F8" s="37">
        <f t="shared" si="0"/>
        <v>0</v>
      </c>
      <c r="G8" s="37">
        <f t="shared" si="0"/>
        <v>0</v>
      </c>
      <c r="H8" s="37">
        <f t="shared" si="0"/>
        <v>0</v>
      </c>
      <c r="I8" s="37">
        <f t="shared" si="0"/>
        <v>0</v>
      </c>
      <c r="J8" s="37">
        <f t="shared" si="0"/>
        <v>0</v>
      </c>
      <c r="K8" s="37">
        <f t="shared" si="0"/>
        <v>0</v>
      </c>
      <c r="L8" s="37">
        <f t="shared" si="0"/>
        <v>0</v>
      </c>
      <c r="M8" s="37">
        <f t="shared" si="0"/>
        <v>0</v>
      </c>
      <c r="N8" s="37">
        <f t="shared" si="0"/>
        <v>0</v>
      </c>
      <c r="O8" s="37">
        <f t="shared" si="0"/>
        <v>0</v>
      </c>
      <c r="P8" s="37">
        <f t="shared" si="0"/>
        <v>0</v>
      </c>
      <c r="Q8" s="37">
        <f t="shared" si="0"/>
        <v>0</v>
      </c>
      <c r="R8" s="37">
        <f t="shared" si="0"/>
        <v>0</v>
      </c>
      <c r="S8" s="37">
        <f t="shared" si="0"/>
        <v>0</v>
      </c>
      <c r="T8" s="37">
        <f t="shared" si="0"/>
        <v>0</v>
      </c>
      <c r="U8" s="37">
        <f t="shared" si="0"/>
        <v>0</v>
      </c>
      <c r="V8" s="37">
        <f t="shared" si="0"/>
        <v>0</v>
      </c>
      <c r="W8" s="37">
        <f t="shared" si="0"/>
        <v>0</v>
      </c>
      <c r="X8" s="37">
        <f t="shared" si="0"/>
        <v>0</v>
      </c>
      <c r="Y8" s="37">
        <f t="shared" si="0"/>
        <v>0</v>
      </c>
      <c r="Z8" s="68">
        <v>55.84</v>
      </c>
      <c r="AA8" s="7">
        <v>12.01</v>
      </c>
      <c r="AB8" s="7">
        <v>28.0855</v>
      </c>
      <c r="AC8" s="7">
        <v>58.693399999999997</v>
      </c>
      <c r="AD8" s="7">
        <v>63.545999999999999</v>
      </c>
      <c r="AE8" s="7">
        <v>30.973762000000001</v>
      </c>
      <c r="AF8" s="7">
        <v>32.064999999999998</v>
      </c>
      <c r="AG8" s="7">
        <v>14.0067</v>
      </c>
      <c r="AH8" s="7">
        <v>10.81</v>
      </c>
      <c r="AI8" s="7">
        <v>54.938043999999998</v>
      </c>
      <c r="AJ8" s="7">
        <v>95.95</v>
      </c>
      <c r="AK8" s="7">
        <v>51.996099999999998</v>
      </c>
      <c r="AL8" s="7">
        <v>58.933194999999998</v>
      </c>
      <c r="AM8" s="7">
        <v>26.981539999999999</v>
      </c>
      <c r="AN8">
        <v>50.941499999999998</v>
      </c>
      <c r="AO8">
        <v>92.906369999999995</v>
      </c>
      <c r="AP8">
        <v>183.84</v>
      </c>
      <c r="AQ8">
        <v>180.94788</v>
      </c>
      <c r="AR8">
        <v>91.224000000000004</v>
      </c>
      <c r="AS8">
        <v>47.866999999999997</v>
      </c>
      <c r="AT8">
        <v>24.305</v>
      </c>
      <c r="AU8">
        <v>121.76</v>
      </c>
      <c r="AV8" s="7">
        <v>207.2</v>
      </c>
      <c r="AW8" s="7">
        <v>118.71</v>
      </c>
      <c r="AX8" s="7">
        <v>208.9804</v>
      </c>
      <c r="AY8" s="7"/>
    </row>
    <row r="9" spans="1:51" ht="18.75" x14ac:dyDescent="0.3">
      <c r="A9" s="36">
        <f>100*((((A8)/(Z8))/(((A8)/(Z8))+((B8)/(AA8))+((C8)/(AB8))+((D8)/(AC8))+((E8)/(AD8))+((F8)/(AE8))+((G8)/(AF8))+((H8)/(AG8))+((I8)/(AH8))+((J8)/(AI8))+((K8)/(AJ8))+((L8)/(AK8))+((M8)/(AL8))+((N8)/(AM8))+((O8)/(AN8))+((P8)/(AO8))+((Q8)/(AP8))+((R8)/(AQ8))+((S8)/(AR8))+((T8)/(AS8))+((U8)/(AT8))+((V8)/(AU8))+((W8)/(AV8))+((X8)/(AW8))+((Y8)/(AX8)))))</f>
        <v>100</v>
      </c>
      <c r="B9" s="36">
        <f>100*((((B8)/(AA8))/(((A8)/(Z8))+((B8)/(AA8))+((C8)/(AB8))+((D8)/(AC8))+((E8)/(AD8))+((F8)/(AE8))+((G8)/(AF8))+((H8)/(AG8))+((I8)/(AH8))+((J8)/(AI8))+((K8)/(AJ8))+((L8)/(AK8))+((M8)/(AL8))+((N8)/(AM8))+((O8)/(AN8))+((P8)/(AO8))+((Q8)/(AP8))+((R8)/(AQ8))+((S8)/(AR8))+((T8)/(AS8))+((U8)/(AT8))+((V8)/(AU8))+((W8)/(AV8))+((X8)/(AW8))+((Y8)/(AX8)))))</f>
        <v>0</v>
      </c>
      <c r="C9" s="36">
        <f>100*((((C8)/(AB8))/(((A8)/(Z8))+((B8)/(AA8))+((C8)/(AB8))+((D8)/(AC8))+((E8)/(AD8))+((F8)/(AE8))+((G8)/(AF8))+((H8)/(AG8))+((I8)/(AH8))+((J8)/(AI8))+((K8)/(AJ8))+((L8)/(AK8))+((M8)/(AL8))+((N8)/(AM8))+((O8)/(AN8))+((P8)/(AO8))+((Q8)/(AP8))+((R8)/(AQ8))+((S8)/(AR8))+((T8)/(AS8))+((U8)/(AT8))+((V8)/(AU8))+((W8)/(AV8))+((X8)/(AW8))+((Y8)/(AX8)))))</f>
        <v>0</v>
      </c>
      <c r="D9" s="36">
        <f>100*((((D8)/(AC8))/(((A8)/(Z8))+((B8)/(AA8))+((C8)/(AB8))+((D8)/(AC8))+((E8)/(AD8))+((F8)/(AE8))+((G8)/(AF8))+((H8)/(AG8))+((I8)/(AH8))+((J8)/(AI8))+((K8)/(AJ8))+((L8)/(AK8))+((M8)/(AL8))+((N8)/(AM8))+((O8)/(AN8))+((P8)/(AO8))+((Q8)/(AP8))+((R8)/(AQ8))+((S8)/(AR8))+((T8)/(AS8))+((U8)/(AT8))+((V8)/(AU8))+((W8)/(AV8))+((X8)/(AW8))+((Y8)/(AX8)))))</f>
        <v>0</v>
      </c>
      <c r="E9" s="36">
        <f>100*((((E8)/(AD8))/(((A8)/(Z8))+((B8)/(AA8))+((C8)/(AB8))+((D8)/(AC8))+((E8)/(AD8))+((F8)/(AE8))+((G8)/(AF8))+((H8)/(AG8))+((I8)/(AH8))+((J8)/(AI8))+((K8)/(AJ8))+((L8)/(AK8))+((M8)/(AL8))+((N8)/(AM8))+((O8)/(AN8))+((P8)/(AO8))+((Q8)/(AP8))+((R8)/(AQ8))+((S8)/(AR8))+((T8)/(AS8))+((U8)/(AT8))+((V8)/(AU8))+((W8)/(AV8))+((X8)/(AW8))+((Y8)/(AX8)))))</f>
        <v>0</v>
      </c>
      <c r="F9" s="36">
        <f>100*((((F8)/(AE8))/(((A8)/(Z8))+((B8)/(AA8))+((C8)/(AB8))+((D8)/(AC8))+((E8)/(AD8))+((F8)/(AE8))+((G8)/(AF8))+((H8)/(AG8))+((I8)/(AH8))+((J8)/(AI8))+((K8)/(AJ8))+((L8)/(AK8))+((M8)/(AL8))+((N8)/(AM8))+((O8)/(AN8))+((P8)/(AO8))+((Q8)/(AP8))+((R8)/(AQ8))+((S8)/(AR8))+((T8)/(AS8))+((U8)/(AT8))+((V8)/(AU8))+((W8)/(AV8))+((X8)/(AW8))+((Y8)/(AX8)))))</f>
        <v>0</v>
      </c>
      <c r="G9" s="36">
        <f>100*((((G8)/(AF8))/(((A8)/(Z8))+((B8)/(AA8))+((C8)/(AB8))+((D8)/(AC8))+((E8)/(AD8))+((F8)/(AE8))+((G8)/(AF8))+((H8)/(AG8))+((I8)/(AH8))+((J8)/(AI8))+((K8)/(AJ8))+((L8)/(AK8))+((M8)/(AL8))+((N8)/(AM8))+((O8)/(AN8))+((P8)/(AO8))+((Q8)/(AP8))+((R8)/(AQ8))+((S8)/(AR8))+((T8)/(AS8))+((U8)/(AT8))+((V8)/(AU8))+((W8)/(AV8))+((X8)/(AW8))+((Y8)/(AX8)))))</f>
        <v>0</v>
      </c>
      <c r="H9" s="36">
        <f>100*((((H8)/(AG8))/(((A8)/(Z8))+((B8)/(AA8))+((C8)/(AB8))+((D8)/(AC8))+((E8)/(AD8))+((F8)/(AE8))+((G8)/(AF8))+((H8)/(AG8))+((I8)/(AH8))+((J8)/(AI8))+((K8)/(AJ8))+((L8)/(AK8))+((M8)/(AL8))+((N8)/(AM8))+((O8)/(AN8))+((P8)/(AO8))+((Q8)/(AP8))+((R8)/(AQ8))+((S8)/(AR8))+((T8)/(AS8))+((U8)/(AT8))+((V8)/(AU8))+((W8)/(AV8))+((X8)/(AW8))+((Y8)/(AX8)))))</f>
        <v>0</v>
      </c>
      <c r="I9" s="36">
        <f>100*((((I8)/(AH8))/(((A8)/(Z8))+((B8)/(AA8))+((C8)/(AB8))+((D8)/(AC8))+((E8)/(AD8))+((F8)/(AE8))+((G8)/(AF8))+((H8)/(AG8))+((I8)/(AH8))+((J8)/(AI8))+((K8)/(AJ8))+((L8)/(AK8))+((M8)/(AL8))+((N8)/(AM8))+((O8)/(AN8))+((P8)/(AO8))+((Q8)/(AP8))+((R8)/(AQ8))+((S8)/(AR8))+((T8)/(AS8))+((U8)/(AT8))+((V8)/(AU8))+((W8)/(AV8))+((X8)/(AW8))+((Y8)/(AX8)))))</f>
        <v>0</v>
      </c>
      <c r="J9" s="36">
        <f>100*((((J8)/(AI8))/(((A8)/(Z8))+((B8)/(AA8))+((C8)/(AB8))+((D8)/(AC8))+((E8)/(AD8))+((F8)/(AE8))+((G8)/(AF8))+((H8)/(AG8))+((I8)/(AH8))+((J8)/(AI8))+((K8)/(AJ8))+((L8)/(AK8))+((M8)/(AL8))+((N8)/(AM8))+((O8)/(AN8))+((P8)/(AO8))+((Q8)/(AP8))+((R8)/(AQ8))+((S8)/(AR8))+((T8)/(AS8))+((U8)/(AT8))+((V8)/(AU8))+((W8)/(AV8))+((X8)/(AW8))+((Y8)/(AX8)))))</f>
        <v>0</v>
      </c>
      <c r="K9" s="36">
        <f>100*((((K8)/(AJ8))/(((A8)/(Z8))+((B8)/(AA8))+((C8)/(AB8))+((D8)/(AC8))+((E8)/(AD8))+((F8)/(AE8))+((G8)/(AF8))+((H8)/(AG8))+((I8)/(AH8))+((J8)/(AI8))+((K8)/(AJ8))+((L8)/(AK8))+((M8)/(AL8))+((N8)/(AM8))+((O8)/(AN8))+((P8)/(AO8))+((Q8)/(AP8))+((R8)/(AQ8))+((S8)/(AR8))+((T8)/(AS8))+((U8)/(AT8))+((V8)/(AU8))+((W8)/(AV8))+((X8)/(AW8))+((Y8)/(AX8)))))</f>
        <v>0</v>
      </c>
      <c r="L9" s="36">
        <f>100*((((L8)/(AK8))/(((A8)/(Z8))+((B8)/(AA8))+((C8)/(AB8))+((D8)/(AC8))+((E8)/(AD8))+((F8)/(AE8))+((G8)/(AF8))+((H8)/(AG8))+((I8)/(AH8))+((J8)/(AI8))+((K8)/(AJ8))+((L8)/(AK8))+((M8)/(AL8))+((N8)/(AM8))+((O8)/(AN8))+((P8)/(AO8))+((Q8)/(AP8))+((R8)/(AQ8))+((S8)/(AR8))+((T8)/(AS8))+((U8)/(AT8))+((V8)/(AU8))+((W8)/(AV8))+((X8)/(AW8))+((Y8)/(AX8)))))</f>
        <v>0</v>
      </c>
      <c r="M9" s="36">
        <f>100*((((M8)/(AL8))/(((A8)/(Z8))+((B8)/(AA8))+((C8)/(AB8))+((D8)/(AC8))+((E8)/(AD8))+((F8)/(AE8))+((G8)/(AF8))+((H8)/(AG8))+((I8)/(AH8))+((J8)/(AI8))+((K8)/(AJ8))+((L8)/(AK8))+((M8)/(AL8))+((N8)/(AM8))+((O8)/(AN8))+((P8)/(AO8))+((Q8)/(AP8))+((R8)/(AQ8))+((S8)/(AR8))+((T8)/(AS8))+((U8)/(AT8))+((V8)/(AU8))+((W8)/(AV8))+((X8)/(AW8))+((Y8)/(AX8)))))</f>
        <v>0</v>
      </c>
      <c r="N9" s="36">
        <f>100*((((N8)/(AM8))/(((A8)/(Z8))+((B8)/(AA8))+((C8)/(AB8))+((D8)/(AC8))+((E8)/(AD8))+((F8)/(AE8))+((G8)/(AF8))+((H8)/(AG8))+((I8)/(AH8))+((J8)/(AI8))+((K8)/(AJ8))+((L8)/(AK8))+((M8)/(AL8))+((N8)/(AM8))+((O8)/(AN8))+((P8)/(AO8))+((Q8)/(AP8))+((R8)/(AQ8))+((S8)/(AR8))+((T8)/(AS8))+((U8)/(AT8))+((V8)/(AU8))+((W8)/(AV8))+((X8)/(AW8))+((Y8)/(AX8)))))</f>
        <v>0</v>
      </c>
      <c r="O9" s="36">
        <f>100*((((O8)/(AN8))/(((A8)/(Z8))+((B8)/(AA8))+((C8)/(AB8))+((D8)/(AC8))+((E8)/(AD8))+((F8)/(AE8))+((G8)/(AF8))+((H8)/(AG8))+((I8)/(AH8))+((J8)/(AI8))+((K8)/(AJ8))+((L8)/(AK8))+((M8)/(AL8))+((N8)/(AM8))+((O8)/(AN8))+((P8)/(AO8))+((Q8)/(AP8))+((R8)/(AQ8))+((S8)/(AR8))+((T8)/(AS8))+((U8)/(AT8))+((V8)/(AU8))+((W8)/(AV8))+((X8)/(AW8))+((Y8)/(AX8)))))</f>
        <v>0</v>
      </c>
      <c r="P9" s="36">
        <f>100*((((P8)/(AO8))/(((A8)/(Z8))+((B8)/(AA8))+((C8)/(AB8))+((D8)/(AC8))+((E8)/(AD8))+((F8)/(AE8))+((G8)/(AF8))+((H8)/(AG8))+((I8)/(AH8))+((J8)/(AI8))+((K8)/(AJ8))+((L8)/(AK8))+((M8)/(AL8))+((N8)/(AM8))+((O8)/(AN8))+((P8)/(AO8))+((Q8)/(AP8))+((R8)/(AQ8))+((S8)/(AR8))+((T8)/(AS8))+((U8)/(AT8))+((V8)/(AU8))+((W8)/(AV8))+((X8)/(AW8))+((Y8)/(AX8)))))</f>
        <v>0</v>
      </c>
      <c r="Q9" s="36">
        <f>100*((((Q8)/(AP8))/(((A8)/(Z8))+((B8)/(AA8))+((C8)/(AB8))+((D8)/(AC8))+((E8)/(AD8))+((F8)/(AE8))+((G8)/(AF8))+((H8)/(AG8))+((I8)/(AH8))+((J8)/(AI8))+((K8)/(AJ8))+((L8)/(AK8))+((M8)/(AL8))+((N8)/(AM8))+((O8)/(AN8))+((P8)/(AO8))+((Q8)/(AP8))+((R8)/(AQ8))+((S8)/(AR8))+((T8)/(AS8))+((U8)/(AT8))+((V8)/(AU8))+((W8)/(AV8))+((X8)/(AW8))+((Y8)/(AX8)))))</f>
        <v>0</v>
      </c>
      <c r="R9" s="36">
        <f>100*((((R8)/(AQ8))/(((A8)/(Z8))+((B8)/(AA8))+((C8)/(AB8))+((D8)/(AC8))+((E8)/(AD8))+((F8)/(AE8))+((G8)/(AF8))+((H8)/(AG8))+((I8)/(AH8))+((J8)/(AI8))+((K8)/(AJ8))+((L8)/(AK8))+((M8)/(AL8))+((N8)/(AM8))+((O8)/(AN8))+((P8)/(AO8))+((Q8)/(AP8))+((R8)/(AQ8))+((S8)/(AR8))+((T8)/(AS8))+((U8)/(AT8))+((V8)/(AU8))+((W8)/(AV8))+((X8)/(AW8))+((Y8)/(AX8)))))</f>
        <v>0</v>
      </c>
      <c r="S9" s="36">
        <f>100*((((S8)/(AR8))/(((A8)/(Z8))+((B8)/(AA8))+((C8)/(AB8))+((D8)/(AC8))+((E8)/(AD8))+((F8)/(AE8))+((G8)/(AF8))+((H8)/(AG8))+((I8)/(AH8))+((J8)/(AI8))+((K8)/(AJ8))+((L8)/(AK8))+((M8)/(AL8))+((N8)/(AM8))+((O8)/(AN8))+((P8)/(AO8))+((Q8)/(AP8))+((R8)/(AQ8))+((S8)/(AR8))+((T8)/(AS8))+((U8)/(AT8))+((V8)/(AU8))+((W8)/(AV8))+((X8)/(AW8))+((Y8)/(AX8)))))</f>
        <v>0</v>
      </c>
      <c r="T9" s="36">
        <f>100*((((T8)/(AS8))/(((A8)/(Z8))+((B8)/(AA8))+((C8)/(AB8))+((D8)/(AC8))+((E8)/(AD8))+((F8)/(AE8))+((G8)/(AF8))+((H8)/(AG8))+((I8)/(AH8))+((J8)/(AI8))+((K8)/(AJ8))+((L8)/(AK8))+((M8)/(AL8))+((N8)/(AM8))+((O8)/(AN8))+((P8)/(AO8))+((Q8)/(AP8))+((R8)/(AQ8))+((S8)/(AR8))+((T8)/(AS8))+((U8)/(AT8))+((V8)/(AU8))+((W8)/(AV8))+((X8)/(AW8))+((Y8)/(AX8)))))</f>
        <v>0</v>
      </c>
      <c r="U9" s="36">
        <f>100*((((U8)/(AT8))/(((A8)/(Z8))+((B8)/(AA8))+((C8)/(AB8))+((D8)/(AC8))+((E8)/(AD8))+((F8)/(AE8))+((G8)/(AF8))+((H8)/(AG8))+((I8)/(AH8))+((J8)/(AI8))+((K8)/(AJ8))+((L8)/(AK8))+((M8)/(AL8))+((N8)/(AM8))+((O8)/(AN8))+((P8)/(AO8))+((Q8)/(AP8))+((R8)/(AQ8))+((S8)/(AR8))+((T8)/(AS8))+((U8)/(AT8))+((V8)/(AU8))+((W8)/(AV8))+((X8)/(AW8))+((Y8)/(AX8)))))</f>
        <v>0</v>
      </c>
      <c r="V9" s="36">
        <f>100*((((V8)/(AU8))/(((A8)/(Z8))+((B8)/(AA8))+((C8)/(AB8))+((D8)/(AC8))+((E8)/(AD8))+((F8)/(AE8))+((G8)/(AF8))+((H8)/(AG8))+((I8)/(AH8))+((J8)/(AI8))+((K8)/(AJ8))+((L8)/(AK8))+((M8)/(AL8))+((N8)/(AM8))+((O8)/(AN8))+((P8)/(AO8))+((Q8)/(AP8))+((R8)/(AQ8))+((S8)/(AR8))+((T8)/(AS8))+((U8)/(AT8))+((V8)/(AU8))+((W8)/(AV8))+((X8)/(AW8))+((Y8)/(AX8)))))</f>
        <v>0</v>
      </c>
      <c r="W9" s="7">
        <f>100*((((W8)/(AV8))/(((A8)/(Z8))+((B8)/(AA8))+((C8)/(AB8))+((D8)/(AC8))+((E8)/(AD8))+((F8)/(AE8))+((G8)/(AF8))+((H8)/(AG8))+((I8)/(AH8))+((J8)/(AI8))+((K8)/(AJ8))+((L8)/(AK8))+((M8)/(AL8))+((N8)/(AM8))+((O8)/(AN8))+((P8)/(AO8))+((Q8)/(AP8))+((R8)/(AQ8))+((S8)/(AR8))+((T8)/(AS8))+((U8)/(AT8))+((V8)/(AU8))+((W8)/(AV8))+((X8)/(AW8))+((Y8)/(AX8)))))</f>
        <v>0</v>
      </c>
      <c r="X9" s="7">
        <f>100*((((X8)/(AW8))/(((A8)/(Z8))+((B8)/(AA8))+((C8)/(AB8))+((D8)/(AC8))+((E8)/(AD8))+((F8)/(AE8))+((G8)/(AF8))+((H8)/(AG8))+((I8)/(AH8))+((J8)/(AI8))+((K8)/(AJ8))+((L8)/(AK8))+((M8)/(AL8))+((N8)/(AM8))+((O8)/(AN8))+((P8)/(AO8))+((Q8)/(AP8))+((R8)/(AQ8))+((S8)/(AR8))+((T8)/(AS8))+((U8)/(AT8))+((V8)/(AU8))+((W8)/(AV8))+((X8)/(AW8))+((Y8)/(AX8)))))</f>
        <v>0</v>
      </c>
      <c r="Y9" s="7">
        <f>100*((((Y8)/(AX8))/(((A8)/(Z8))+((B8)/(AA8))+((C8)/(AB8))+((D8)/(AC8))+((E8)/(AD8))+((F8)/(AE8))+((G8)/(AF8))+((H8)/(AG8))+((I8)/(AH8))+((J8)/(AI8))+((K8)/(AJ8))+((L8)/(AK8))+((M8)/(AL8))+((N8)/(AM8))+((O8)/(AN8))+((P8)/(AO8))+((Q8)/(AP8))+((R8)/(AQ8))+((S8)/(AR8))+((T8)/(AS8))+((U8)/(AT8))+((V8)/(AU8))+((W8)/(AV8))+((X8)/(AW8))+((Y8)/(AX8)))))</f>
        <v>0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51" ht="23.25" x14ac:dyDescent="0.35">
      <c r="A10" s="70" t="s">
        <v>87</v>
      </c>
      <c r="B10" s="73" t="e">
        <f>A9/B9</f>
        <v>#DIV/0!</v>
      </c>
      <c r="C10" s="73" t="e">
        <f>A9/C9</f>
        <v>#DIV/0!</v>
      </c>
      <c r="D10" s="73" t="e">
        <f>A9/D9</f>
        <v>#DIV/0!</v>
      </c>
      <c r="E10" s="73" t="e">
        <f>A9/E9</f>
        <v>#DIV/0!</v>
      </c>
      <c r="F10" s="74" t="e">
        <f>A9/F9</f>
        <v>#DIV/0!</v>
      </c>
      <c r="G10" s="74" t="e">
        <f>A9/G9</f>
        <v>#DIV/0!</v>
      </c>
      <c r="H10" s="74" t="e">
        <f>A9/H9</f>
        <v>#DIV/0!</v>
      </c>
      <c r="I10" s="75" t="e">
        <f>A9/I9</f>
        <v>#DIV/0!</v>
      </c>
      <c r="J10" s="75" t="e">
        <f>A9/J9</f>
        <v>#DIV/0!</v>
      </c>
      <c r="K10" s="75" t="e">
        <f>A9/K9</f>
        <v>#DIV/0!</v>
      </c>
      <c r="L10" s="75" t="e">
        <f>A9/L9</f>
        <v>#DIV/0!</v>
      </c>
      <c r="M10" s="75" t="e">
        <f>A9/M9</f>
        <v>#DIV/0!</v>
      </c>
      <c r="N10" s="75" t="e">
        <f>A9/N9</f>
        <v>#DIV/0!</v>
      </c>
      <c r="O10" s="71" t="e">
        <f>A9/O9</f>
        <v>#DIV/0!</v>
      </c>
      <c r="P10" s="71" t="e">
        <f t="shared" ref="P10:Y10" si="1">B9/P9</f>
        <v>#DIV/0!</v>
      </c>
      <c r="Q10" s="71" t="e">
        <f t="shared" si="1"/>
        <v>#DIV/0!</v>
      </c>
      <c r="R10" s="71" t="e">
        <f t="shared" si="1"/>
        <v>#DIV/0!</v>
      </c>
      <c r="S10" s="71" t="e">
        <f t="shared" si="1"/>
        <v>#DIV/0!</v>
      </c>
      <c r="T10" s="71" t="e">
        <f t="shared" si="1"/>
        <v>#DIV/0!</v>
      </c>
      <c r="U10" s="71" t="e">
        <f t="shared" si="1"/>
        <v>#DIV/0!</v>
      </c>
      <c r="V10" s="71" t="e">
        <f t="shared" si="1"/>
        <v>#DIV/0!</v>
      </c>
      <c r="W10" s="71" t="e">
        <f t="shared" si="1"/>
        <v>#DIV/0!</v>
      </c>
      <c r="X10" s="71" t="e">
        <f t="shared" si="1"/>
        <v>#DIV/0!</v>
      </c>
      <c r="Y10" s="71" t="e">
        <f t="shared" si="1"/>
        <v>#DIV/0!</v>
      </c>
    </row>
    <row r="11" spans="1:51" ht="23.25" x14ac:dyDescent="0.35">
      <c r="A11" s="71"/>
      <c r="B11" s="71" t="e">
        <f>599*A9/100/B10</f>
        <v>#DIV/0!</v>
      </c>
      <c r="C11" s="71" t="e">
        <f>599*A9/100/C10</f>
        <v>#DIV/0!</v>
      </c>
      <c r="D11" s="71" t="e">
        <f>599*A9/100/D10</f>
        <v>#DIV/0!</v>
      </c>
      <c r="E11" s="71" t="e">
        <f>599*A9/100/E10</f>
        <v>#DIV/0!</v>
      </c>
      <c r="F11" s="71" t="e">
        <f>599*A9/100/F10</f>
        <v>#DIV/0!</v>
      </c>
      <c r="G11" s="71" t="e">
        <f>599*A9/100/G10</f>
        <v>#DIV/0!</v>
      </c>
      <c r="H11" s="71" t="e">
        <f>599*A9/100/H10</f>
        <v>#DIV/0!</v>
      </c>
      <c r="I11" s="71" t="e">
        <f>599*A9/100/I10</f>
        <v>#DIV/0!</v>
      </c>
      <c r="J11" s="71" t="e">
        <f>599*A9/100/J10</f>
        <v>#DIV/0!</v>
      </c>
      <c r="K11" s="71" t="e">
        <f>599*A9/100/K10</f>
        <v>#DIV/0!</v>
      </c>
      <c r="L11" s="71" t="e">
        <f>599*A9/100/L10</f>
        <v>#DIV/0!</v>
      </c>
      <c r="M11" s="71" t="e">
        <f>599*A9/100/M10</f>
        <v>#DIV/0!</v>
      </c>
      <c r="N11" s="71" t="e">
        <f>599*A9/100/N10</f>
        <v>#DIV/0!</v>
      </c>
      <c r="O11" s="71" t="e">
        <f>599*M9/100/O10</f>
        <v>#DIV/0!</v>
      </c>
      <c r="P11" s="71" t="e">
        <f>599*O9/100/P10</f>
        <v>#DIV/0!</v>
      </c>
      <c r="Q11" s="71" t="e">
        <f t="shared" ref="Q11:Y11" si="2">599*P9/100/Q10</f>
        <v>#DIV/0!</v>
      </c>
      <c r="R11" s="71" t="e">
        <f t="shared" si="2"/>
        <v>#DIV/0!</v>
      </c>
      <c r="S11" s="71" t="e">
        <f t="shared" si="2"/>
        <v>#DIV/0!</v>
      </c>
      <c r="T11" s="71" t="e">
        <f t="shared" si="2"/>
        <v>#DIV/0!</v>
      </c>
      <c r="U11" s="71" t="e">
        <f t="shared" si="2"/>
        <v>#DIV/0!</v>
      </c>
      <c r="V11" s="71" t="e">
        <f t="shared" si="2"/>
        <v>#DIV/0!</v>
      </c>
      <c r="W11" s="71" t="e">
        <f t="shared" si="2"/>
        <v>#DIV/0!</v>
      </c>
      <c r="X11" s="71" t="e">
        <f t="shared" si="2"/>
        <v>#DIV/0!</v>
      </c>
      <c r="Y11" s="71" t="e">
        <f t="shared" si="2"/>
        <v>#DIV/0!</v>
      </c>
    </row>
    <row r="12" spans="1:51" ht="23.25" x14ac:dyDescent="0.35">
      <c r="A12" s="71" t="s">
        <v>88</v>
      </c>
      <c r="B12" s="76" t="e">
        <f>B11+C11+E11</f>
        <v>#DIV/0!</v>
      </c>
      <c r="C12" s="77"/>
      <c r="D12" s="77" t="e">
        <f>B11+E11+D11</f>
        <v>#DIV/0!</v>
      </c>
      <c r="E12" s="77"/>
      <c r="F12" s="77">
        <v>94</v>
      </c>
      <c r="G12" s="77"/>
      <c r="H12" s="77"/>
      <c r="I12" s="77" t="e">
        <f>I11+N11</f>
        <v>#DIV/0!</v>
      </c>
      <c r="J12" s="77"/>
      <c r="K12" s="77"/>
      <c r="L12" s="77"/>
      <c r="M12" s="77"/>
      <c r="N12" s="77"/>
      <c r="O12" s="77"/>
      <c r="P12" s="71"/>
      <c r="Q12" s="71"/>
      <c r="R12" s="71"/>
    </row>
    <row r="13" spans="1:51" ht="23.25" x14ac:dyDescent="0.35">
      <c r="A13" s="78" t="s">
        <v>167</v>
      </c>
      <c r="B13" s="79" t="e">
        <f>I11+J11</f>
        <v>#DIV/0!</v>
      </c>
      <c r="C13" s="71"/>
      <c r="D13" s="80" t="e">
        <f>J11+L11</f>
        <v>#DIV/0!</v>
      </c>
      <c r="E13" s="71"/>
      <c r="F13" s="71">
        <v>0.5</v>
      </c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</row>
    <row r="14" spans="1:51" ht="23.25" x14ac:dyDescent="0.35">
      <c r="A14" s="71" t="s">
        <v>13</v>
      </c>
      <c r="B14" s="71">
        <f>I9</f>
        <v>0</v>
      </c>
      <c r="C14" s="71"/>
      <c r="D14" s="71" t="e">
        <f>I11</f>
        <v>#DIV/0!</v>
      </c>
      <c r="E14" s="71"/>
      <c r="F14" s="71">
        <v>0.5</v>
      </c>
      <c r="G14" s="71"/>
      <c r="H14" s="71"/>
      <c r="I14" s="71">
        <v>98</v>
      </c>
      <c r="J14" s="81">
        <f>I14*100/599</f>
        <v>16.360601001669448</v>
      </c>
      <c r="K14" s="71">
        <v>94.49</v>
      </c>
      <c r="L14" s="71"/>
      <c r="M14" s="71"/>
      <c r="N14" s="71"/>
      <c r="O14" s="71"/>
      <c r="P14" s="71"/>
      <c r="Q14" s="71"/>
      <c r="R14" s="71"/>
    </row>
    <row r="15" spans="1:51" ht="23.25" x14ac:dyDescent="0.35">
      <c r="A15" s="71" t="s">
        <v>15</v>
      </c>
      <c r="B15" s="89">
        <f>C9</f>
        <v>0</v>
      </c>
      <c r="C15" s="89"/>
      <c r="D15" s="89" t="e">
        <f>C11</f>
        <v>#DIV/0!</v>
      </c>
      <c r="E15" s="89"/>
      <c r="F15" s="89">
        <v>23</v>
      </c>
      <c r="I15" s="71">
        <v>0.5</v>
      </c>
      <c r="J15" s="81">
        <f t="shared" ref="J15:J16" si="3">I15*100/599</f>
        <v>8.347245409015025E-2</v>
      </c>
      <c r="K15" s="71">
        <v>95.82</v>
      </c>
      <c r="M15" s="71"/>
      <c r="N15" s="71"/>
      <c r="O15" s="71"/>
      <c r="P15" s="71"/>
      <c r="Q15" s="71"/>
      <c r="R15" s="71"/>
    </row>
    <row r="16" spans="1:51" ht="23.25" x14ac:dyDescent="0.35">
      <c r="A16" s="71" t="s">
        <v>67</v>
      </c>
      <c r="B16" s="89" t="e">
        <f>B12+B13</f>
        <v>#DIV/0!</v>
      </c>
      <c r="C16" s="89"/>
      <c r="D16" s="89" t="e">
        <f>D12+D13+D14+D15</f>
        <v>#DIV/0!</v>
      </c>
      <c r="E16" s="89"/>
      <c r="F16" s="89">
        <f>F12+F13+F14+F15</f>
        <v>118</v>
      </c>
      <c r="I16" s="71">
        <v>23</v>
      </c>
      <c r="J16" s="81">
        <f t="shared" si="3"/>
        <v>3.8397328881469117</v>
      </c>
      <c r="K16" s="71">
        <v>89.48</v>
      </c>
      <c r="M16" s="71"/>
      <c r="N16" s="71"/>
      <c r="O16" s="71"/>
      <c r="P16" s="71"/>
      <c r="Q16" s="71"/>
      <c r="R16" s="71"/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1EF3-74C4-4516-89C5-CD962EAF9B70}">
  <dimension ref="A1:AZ29"/>
  <sheetViews>
    <sheetView zoomScale="93" zoomScaleNormal="93" workbookViewId="0">
      <selection activeCell="C5" sqref="C5:R7"/>
    </sheetView>
  </sheetViews>
  <sheetFormatPr baseColWidth="10" defaultColWidth="8.7109375" defaultRowHeight="15" x14ac:dyDescent="0.25"/>
  <cols>
    <col min="1" max="1" width="24.42578125" customWidth="1"/>
    <col min="2" max="2" width="23.28515625" customWidth="1"/>
    <col min="3" max="3" width="14" customWidth="1"/>
    <col min="4" max="4" width="10.140625" customWidth="1"/>
    <col min="5" max="5" width="11.5703125" customWidth="1"/>
    <col min="6" max="6" width="8.42578125" customWidth="1"/>
    <col min="7" max="7" width="7.7109375" customWidth="1"/>
    <col min="8" max="8" width="9.85546875" customWidth="1"/>
    <col min="9" max="9" width="9.42578125" customWidth="1"/>
    <col min="10" max="11" width="12.7109375" customWidth="1"/>
    <col min="12" max="12" width="8.28515625" customWidth="1"/>
    <col min="13" max="13" width="8" customWidth="1"/>
    <col min="14" max="14" width="8.5703125" customWidth="1"/>
    <col min="15" max="15" width="5.42578125" customWidth="1"/>
    <col min="16" max="20" width="12.42578125" bestFit="1" customWidth="1"/>
    <col min="21" max="21" width="11.42578125" bestFit="1" customWidth="1"/>
    <col min="22" max="25" width="12.42578125" bestFit="1" customWidth="1"/>
    <col min="26" max="26" width="11.42578125" bestFit="1" customWidth="1"/>
  </cols>
  <sheetData>
    <row r="1" spans="1:52" ht="21" x14ac:dyDescent="0.35">
      <c r="A1" s="89" t="s">
        <v>34</v>
      </c>
      <c r="B1" s="89"/>
      <c r="C1" s="89" t="e">
        <f>C5-C2</f>
        <v>#DIV/0!</v>
      </c>
      <c r="D1" s="89" t="e">
        <f>D4-D2</f>
        <v>#DIV/0!</v>
      </c>
      <c r="E1" s="89">
        <f>E2-E5</f>
        <v>0</v>
      </c>
      <c r="F1" s="89" t="e">
        <f>F4-F2</f>
        <v>#DIV/0!</v>
      </c>
      <c r="G1" s="89" t="e">
        <f t="shared" ref="G1:O1" si="0">G4-G2</f>
        <v>#DIV/0!</v>
      </c>
      <c r="H1" s="89" t="e">
        <f t="shared" si="0"/>
        <v>#DIV/0!</v>
      </c>
      <c r="I1" s="89" t="e">
        <f>I4-I2</f>
        <v>#DIV/0!</v>
      </c>
      <c r="J1" s="89">
        <f>J5-J2</f>
        <v>0</v>
      </c>
      <c r="K1" s="89">
        <f>K5-K2</f>
        <v>0</v>
      </c>
      <c r="L1" s="89" t="e">
        <f t="shared" si="0"/>
        <v>#DIV/0!</v>
      </c>
      <c r="M1" s="89" t="e">
        <f t="shared" si="0"/>
        <v>#DIV/0!</v>
      </c>
      <c r="N1" s="89" t="e">
        <f t="shared" si="0"/>
        <v>#DIV/0!</v>
      </c>
      <c r="O1" s="89" t="e">
        <f t="shared" si="0"/>
        <v>#DIV/0!</v>
      </c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</row>
    <row r="2" spans="1:52" ht="21" x14ac:dyDescent="0.35">
      <c r="A2" s="89" t="s">
        <v>37</v>
      </c>
      <c r="B2" s="138">
        <f>100-C2-D2-E2-F2-G2-H2-I2-J2-K2-L2-M2-N2-O2</f>
        <v>100</v>
      </c>
      <c r="C2" s="89">
        <f>'1.0330_3'!C10</f>
        <v>0</v>
      </c>
      <c r="D2" s="89">
        <f>'1.0330_3'!D10</f>
        <v>0</v>
      </c>
      <c r="E2" s="89">
        <f>'1.0330_3'!E10</f>
        <v>0</v>
      </c>
      <c r="F2" s="89">
        <f>'1.0330_3'!F10</f>
        <v>0</v>
      </c>
      <c r="G2" s="89">
        <f>'1.0330_3'!G10</f>
        <v>0</v>
      </c>
      <c r="H2" s="89">
        <f>'1.0330_3'!H10</f>
        <v>0</v>
      </c>
      <c r="I2" s="89">
        <f>'1.0330_3'!I10</f>
        <v>0</v>
      </c>
      <c r="J2" s="89">
        <f>'1.0330_3'!J10</f>
        <v>0</v>
      </c>
      <c r="K2" s="89">
        <f>'1.0330_3'!K10</f>
        <v>0</v>
      </c>
      <c r="L2" s="89">
        <f>'1.0330_3'!L10</f>
        <v>0</v>
      </c>
      <c r="M2" s="89">
        <f>'1.0330_3'!M10</f>
        <v>0</v>
      </c>
      <c r="N2" s="89">
        <f>'1.0330_3'!N10</f>
        <v>0</v>
      </c>
      <c r="O2" s="89">
        <f>'1.0330_3'!O10</f>
        <v>0</v>
      </c>
      <c r="P2" s="89">
        <f>'1.0330_3'!P10</f>
        <v>0</v>
      </c>
      <c r="Q2" s="89">
        <f>'1.0330_3'!Q10</f>
        <v>0</v>
      </c>
      <c r="R2" s="89">
        <f>'1.0330_3'!R10</f>
        <v>0</v>
      </c>
      <c r="S2" s="89">
        <f>'1.0330_3'!S10</f>
        <v>0</v>
      </c>
      <c r="T2" s="89">
        <f>'1.0330_3'!T10</f>
        <v>0</v>
      </c>
      <c r="U2" s="89">
        <f>'1.0330_3'!U10</f>
        <v>0</v>
      </c>
      <c r="V2" s="89">
        <f>'1.0330_3'!V10</f>
        <v>0</v>
      </c>
      <c r="W2" s="89">
        <f>'1.0330_3'!W10</f>
        <v>0</v>
      </c>
      <c r="X2" s="89">
        <f>'1.0330_3'!X10</f>
        <v>0</v>
      </c>
      <c r="Y2" s="89">
        <f>'1.0330_3'!Y10</f>
        <v>0</v>
      </c>
      <c r="Z2" s="89">
        <f>'1.0330_3'!Z10</f>
        <v>0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</row>
    <row r="3" spans="1:52" ht="21" x14ac:dyDescent="0.35">
      <c r="A3" s="89"/>
      <c r="B3" s="210" t="s">
        <v>14</v>
      </c>
      <c r="C3" s="210" t="s">
        <v>15</v>
      </c>
      <c r="D3" s="210" t="s">
        <v>8</v>
      </c>
      <c r="E3" s="210" t="s">
        <v>9</v>
      </c>
      <c r="F3" s="210" t="s">
        <v>234</v>
      </c>
      <c r="G3" s="210" t="s">
        <v>56</v>
      </c>
      <c r="H3" s="210" t="s">
        <v>57</v>
      </c>
      <c r="I3" s="210" t="s">
        <v>58</v>
      </c>
      <c r="J3" s="210" t="s">
        <v>77</v>
      </c>
      <c r="K3" s="210" t="s">
        <v>204</v>
      </c>
      <c r="L3" s="210" t="s">
        <v>16</v>
      </c>
      <c r="M3" s="210" t="s">
        <v>12</v>
      </c>
      <c r="N3" s="210" t="s">
        <v>44</v>
      </c>
      <c r="O3" s="210" t="s">
        <v>55</v>
      </c>
      <c r="P3" s="210" t="s">
        <v>17</v>
      </c>
      <c r="Q3" s="210" t="s">
        <v>80</v>
      </c>
      <c r="R3" s="210" t="s">
        <v>81</v>
      </c>
      <c r="S3" s="210" t="s">
        <v>82</v>
      </c>
      <c r="T3" s="210" t="s">
        <v>83</v>
      </c>
      <c r="U3" s="210" t="s">
        <v>45</v>
      </c>
      <c r="V3" s="210" t="s">
        <v>43</v>
      </c>
      <c r="W3" s="210" t="s">
        <v>13</v>
      </c>
      <c r="X3" s="210" t="s">
        <v>0</v>
      </c>
      <c r="Y3" s="210" t="s">
        <v>11</v>
      </c>
      <c r="Z3" s="210" t="s">
        <v>10</v>
      </c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</row>
    <row r="4" spans="1:52" ht="21" x14ac:dyDescent="0.35">
      <c r="A4" s="89" t="s">
        <v>35</v>
      </c>
      <c r="B4" s="89" t="e">
        <f>100-C4-D4-E4-F4-G4-H4-I4-J4-K4-L4-M4-N4-O4-P4-Q4-R4-S4-T4-U4-V4-W4-X4-Y4-Z4</f>
        <v>#DIV/0!</v>
      </c>
      <c r="C4" s="89" t="e">
        <f>'opt 7'!C56</f>
        <v>#DIV/0!</v>
      </c>
      <c r="D4" s="89" t="e">
        <f>'opt 7'!D56</f>
        <v>#DIV/0!</v>
      </c>
      <c r="E4" s="89" t="e">
        <f>'opt 7'!E56</f>
        <v>#DIV/0!</v>
      </c>
      <c r="F4" s="89" t="e">
        <f>'opt 7'!F56</f>
        <v>#DIV/0!</v>
      </c>
      <c r="G4" s="89" t="e">
        <f>'opt 7'!G56</f>
        <v>#DIV/0!</v>
      </c>
      <c r="H4" s="89" t="e">
        <f>'opt 7'!H56</f>
        <v>#DIV/0!</v>
      </c>
      <c r="I4" s="89" t="e">
        <f>'opt 7'!I56</f>
        <v>#DIV/0!</v>
      </c>
      <c r="J4" s="89" t="e">
        <f>'opt 7'!J56</f>
        <v>#DIV/0!</v>
      </c>
      <c r="K4" s="89" t="e">
        <f>'opt 7'!K56</f>
        <v>#DIV/0!</v>
      </c>
      <c r="L4" s="89" t="e">
        <f>'opt 7'!L56</f>
        <v>#DIV/0!</v>
      </c>
      <c r="M4" s="89" t="e">
        <f>'opt 7'!M56</f>
        <v>#DIV/0!</v>
      </c>
      <c r="N4" s="89" t="e">
        <f>'opt 7'!N56</f>
        <v>#DIV/0!</v>
      </c>
      <c r="O4" s="89" t="e">
        <f>'opt 7'!O56</f>
        <v>#DIV/0!</v>
      </c>
      <c r="P4" s="89" t="e">
        <f>'opt 7'!P56</f>
        <v>#DIV/0!</v>
      </c>
      <c r="Q4" s="89" t="e">
        <f>'opt 7'!Q56</f>
        <v>#DIV/0!</v>
      </c>
      <c r="R4" s="89" t="e">
        <f>'opt 7'!R56</f>
        <v>#DIV/0!</v>
      </c>
      <c r="S4" s="89" t="e">
        <f>'opt 7'!S56</f>
        <v>#DIV/0!</v>
      </c>
      <c r="T4" s="89" t="e">
        <f>'opt 7'!T56</f>
        <v>#DIV/0!</v>
      </c>
      <c r="U4" s="89" t="e">
        <f>'opt 7'!U56</f>
        <v>#DIV/0!</v>
      </c>
      <c r="V4" s="89" t="e">
        <f>'opt 7'!V56</f>
        <v>#DIV/0!</v>
      </c>
      <c r="W4" s="89" t="e">
        <f>'opt 7'!W56</f>
        <v>#DIV/0!</v>
      </c>
      <c r="X4" s="89" t="e">
        <f>'opt 7'!X56</f>
        <v>#DIV/0!</v>
      </c>
      <c r="Y4" s="89" t="e">
        <f>'opt 7'!Y56</f>
        <v>#DIV/0!</v>
      </c>
      <c r="Z4" s="89" t="e">
        <f>'opt 7'!Z56</f>
        <v>#DIV/0!</v>
      </c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</row>
    <row r="5" spans="1:52" ht="21" x14ac:dyDescent="0.35">
      <c r="A5" s="89" t="s">
        <v>36</v>
      </c>
      <c r="B5" s="89" t="e">
        <f>100-C5-D5-E5-F5-G5-H5-I5-J5-K5-L5-M5-N5-O5</f>
        <v>#DIV/0!</v>
      </c>
      <c r="C5" s="149" t="e">
        <f>C4</f>
        <v>#DIV/0!</v>
      </c>
      <c r="D5" s="158"/>
      <c r="E5" s="159"/>
      <c r="F5" s="159"/>
      <c r="G5" s="159" t="e">
        <f>G4+D4+E4+F4+H4+I4+J4+K4+M4+V4</f>
        <v>#DIV/0!</v>
      </c>
      <c r="H5" s="159"/>
      <c r="I5" s="159"/>
      <c r="J5" s="149"/>
      <c r="K5" s="149"/>
      <c r="L5" s="7" t="e">
        <f>L4</f>
        <v>#DIV/0!</v>
      </c>
      <c r="M5" s="7"/>
      <c r="N5" s="7" t="e">
        <f>N4+P4+Q4+R4+S4+T4+U4+W4+X4+Y4+Z4</f>
        <v>#DIV/0!</v>
      </c>
      <c r="O5" s="7" t="e">
        <f>O4</f>
        <v>#DIV/0!</v>
      </c>
      <c r="P5" s="7"/>
      <c r="Q5" s="7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</row>
    <row r="6" spans="1:52" ht="21" x14ac:dyDescent="0.35">
      <c r="A6" s="89"/>
      <c r="B6" s="8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</row>
    <row r="7" spans="1:52" ht="21" x14ac:dyDescent="0.35">
      <c r="A7" s="89" t="s">
        <v>92</v>
      </c>
      <c r="B7" s="139" t="e">
        <f>100-C7-D7-E7-F7-G7-H7-I7-J7-K7-L7-M7-N7-O7-P7-Q7-R7-S7-T7-U7-V7-W7-X7-Y7-Z7</f>
        <v>#DIV/0!</v>
      </c>
      <c r="C7" s="156">
        <f>C2</f>
        <v>0</v>
      </c>
      <c r="D7" s="156"/>
      <c r="E7" s="156"/>
      <c r="F7" s="156"/>
      <c r="G7" s="156" t="e">
        <f>G2-D4-E4-F4-H4-I4-J4-K4-M4-V4</f>
        <v>#DIV/0!</v>
      </c>
      <c r="H7" s="156"/>
      <c r="I7" s="156"/>
      <c r="J7" s="156"/>
      <c r="K7" s="156"/>
      <c r="L7" s="156">
        <f>L2</f>
        <v>0</v>
      </c>
      <c r="M7" s="156">
        <f>M2</f>
        <v>0</v>
      </c>
      <c r="N7" s="156" t="e">
        <f>N2-P4-Q4-R4-S4-T4-U4-W4-X4-Y4-Z4</f>
        <v>#DIV/0!</v>
      </c>
      <c r="O7" s="156"/>
      <c r="P7" s="156"/>
      <c r="Q7" s="156"/>
      <c r="R7" s="177"/>
      <c r="S7" s="177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</row>
    <row r="8" spans="1:52" ht="21" x14ac:dyDescent="0.35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</row>
    <row r="9" spans="1:52" ht="21" x14ac:dyDescent="0.35">
      <c r="A9" s="89"/>
      <c r="B9" s="89"/>
      <c r="C9" s="89"/>
      <c r="D9" s="89"/>
      <c r="E9" s="89"/>
      <c r="F9" s="89" t="s">
        <v>7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</row>
    <row r="10" spans="1:52" ht="21" x14ac:dyDescent="0.35">
      <c r="A10" s="89" t="s">
        <v>32</v>
      </c>
      <c r="B10" s="180"/>
      <c r="C10" s="180"/>
      <c r="D10" s="89"/>
      <c r="E10" s="180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</row>
    <row r="11" spans="1:52" ht="21" x14ac:dyDescent="0.35">
      <c r="A11" s="89" t="s">
        <v>33</v>
      </c>
      <c r="B11" s="181"/>
      <c r="C11" s="181"/>
      <c r="D11" s="89"/>
      <c r="E11" s="181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</row>
    <row r="12" spans="1:52" ht="21" x14ac:dyDescent="0.35">
      <c r="A12" s="89"/>
      <c r="B12" s="89"/>
      <c r="C12" s="89" t="s">
        <v>233</v>
      </c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</row>
    <row r="13" spans="1:52" ht="21" x14ac:dyDescent="0.35">
      <c r="A13" s="89"/>
      <c r="B13" s="89" t="s">
        <v>14</v>
      </c>
      <c r="C13" s="180" t="s">
        <v>56</v>
      </c>
      <c r="D13" s="180" t="s">
        <v>15</v>
      </c>
      <c r="E13" s="181" t="s">
        <v>8</v>
      </c>
      <c r="F13" s="180" t="s">
        <v>9</v>
      </c>
      <c r="G13" s="180" t="s">
        <v>57</v>
      </c>
      <c r="H13" s="181" t="s">
        <v>58</v>
      </c>
      <c r="I13" s="180" t="s">
        <v>77</v>
      </c>
      <c r="J13" s="181" t="s">
        <v>13</v>
      </c>
      <c r="K13" s="180" t="s">
        <v>16</v>
      </c>
      <c r="L13" s="180" t="s">
        <v>55</v>
      </c>
      <c r="M13" s="181" t="s">
        <v>44</v>
      </c>
      <c r="N13" s="181" t="s">
        <v>10</v>
      </c>
      <c r="O13" s="180" t="s">
        <v>12</v>
      </c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</row>
    <row r="14" spans="1:52" ht="21" x14ac:dyDescent="0.35">
      <c r="A14" s="89" t="s">
        <v>39</v>
      </c>
      <c r="B14" s="89" t="e">
        <f>100-(C14+D14+E14+F14+G14+H14+I14+J14+K14+L14+M14+N14+O14)</f>
        <v>#DIV/0!</v>
      </c>
      <c r="C14" s="89" t="e">
        <f>C5-C1</f>
        <v>#DIV/0!</v>
      </c>
      <c r="D14" s="89" t="e">
        <f>D5-D1</f>
        <v>#DIV/0!</v>
      </c>
      <c r="E14" s="89">
        <f t="shared" ref="E14:I14" si="1">E5</f>
        <v>0</v>
      </c>
      <c r="F14" s="89">
        <f t="shared" si="1"/>
        <v>0</v>
      </c>
      <c r="G14" s="89" t="e">
        <f t="shared" si="1"/>
        <v>#DIV/0!</v>
      </c>
      <c r="H14" s="89">
        <f t="shared" si="1"/>
        <v>0</v>
      </c>
      <c r="I14" s="89">
        <f t="shared" si="1"/>
        <v>0</v>
      </c>
      <c r="J14" s="89">
        <f>J5-J1</f>
        <v>0</v>
      </c>
      <c r="K14" s="89">
        <f>K5-K1</f>
        <v>0</v>
      </c>
      <c r="L14" s="89" t="e">
        <f t="shared" ref="L14:O14" si="2">L5</f>
        <v>#DIV/0!</v>
      </c>
      <c r="M14" s="89">
        <f t="shared" si="2"/>
        <v>0</v>
      </c>
      <c r="N14" s="89" t="e">
        <f t="shared" si="2"/>
        <v>#DIV/0!</v>
      </c>
      <c r="O14" s="89" t="e">
        <f t="shared" si="2"/>
        <v>#DIV/0!</v>
      </c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</row>
    <row r="15" spans="1:52" ht="21" x14ac:dyDescent="0.3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</row>
    <row r="16" spans="1:52" ht="21" x14ac:dyDescent="0.3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</row>
    <row r="17" spans="1:52" ht="21" x14ac:dyDescent="0.35">
      <c r="A17" s="89"/>
      <c r="B17" s="210" t="s">
        <v>14</v>
      </c>
      <c r="C17" s="210" t="s">
        <v>15</v>
      </c>
      <c r="D17" s="210" t="s">
        <v>8</v>
      </c>
      <c r="E17" s="210" t="s">
        <v>9</v>
      </c>
      <c r="F17" s="210" t="s">
        <v>234</v>
      </c>
      <c r="G17" s="210" t="s">
        <v>56</v>
      </c>
      <c r="H17" s="210" t="s">
        <v>57</v>
      </c>
      <c r="I17" s="210" t="s">
        <v>58</v>
      </c>
      <c r="J17" s="210" t="s">
        <v>77</v>
      </c>
      <c r="K17" s="210" t="s">
        <v>204</v>
      </c>
      <c r="L17" s="210" t="s">
        <v>16</v>
      </c>
      <c r="M17" s="210" t="s">
        <v>12</v>
      </c>
      <c r="N17" s="210" t="s">
        <v>44</v>
      </c>
      <c r="O17" s="210" t="s">
        <v>55</v>
      </c>
      <c r="P17" s="210" t="s">
        <v>17</v>
      </c>
      <c r="Q17" s="210" t="s">
        <v>80</v>
      </c>
      <c r="R17" s="210" t="s">
        <v>81</v>
      </c>
      <c r="S17" s="210" t="s">
        <v>82</v>
      </c>
      <c r="T17" s="210" t="s">
        <v>83</v>
      </c>
      <c r="U17" s="210" t="s">
        <v>45</v>
      </c>
      <c r="V17" s="210" t="s">
        <v>43</v>
      </c>
      <c r="W17" s="210" t="s">
        <v>13</v>
      </c>
      <c r="X17" s="210" t="s">
        <v>0</v>
      </c>
      <c r="Y17" s="210" t="s">
        <v>11</v>
      </c>
      <c r="Z17" s="210" t="s">
        <v>10</v>
      </c>
      <c r="AA17" s="211" t="s">
        <v>14</v>
      </c>
      <c r="AB17" s="212" t="s">
        <v>15</v>
      </c>
      <c r="AC17" s="213" t="s">
        <v>8</v>
      </c>
      <c r="AD17" s="214" t="s">
        <v>9</v>
      </c>
      <c r="AE17" s="213" t="s">
        <v>234</v>
      </c>
      <c r="AF17" s="213" t="s">
        <v>56</v>
      </c>
      <c r="AG17" s="214" t="s">
        <v>57</v>
      </c>
      <c r="AH17" s="213" t="s">
        <v>58</v>
      </c>
      <c r="AI17" s="215" t="s">
        <v>77</v>
      </c>
      <c r="AJ17" s="216" t="s">
        <v>204</v>
      </c>
      <c r="AK17" s="216" t="s">
        <v>16</v>
      </c>
      <c r="AL17" s="215" t="s">
        <v>12</v>
      </c>
      <c r="AM17" s="215" t="s">
        <v>44</v>
      </c>
      <c r="AN17" s="216" t="s">
        <v>55</v>
      </c>
      <c r="AO17" s="210" t="s">
        <v>17</v>
      </c>
      <c r="AP17" s="210" t="s">
        <v>80</v>
      </c>
      <c r="AQ17" s="210" t="s">
        <v>81</v>
      </c>
      <c r="AR17" s="210" t="s">
        <v>82</v>
      </c>
      <c r="AS17" s="210" t="s">
        <v>83</v>
      </c>
      <c r="AT17" s="210" t="s">
        <v>45</v>
      </c>
      <c r="AU17" s="210" t="s">
        <v>43</v>
      </c>
      <c r="AV17" s="210" t="s">
        <v>13</v>
      </c>
      <c r="AW17" s="210" t="s">
        <v>0</v>
      </c>
      <c r="AX17" s="210" t="s">
        <v>11</v>
      </c>
      <c r="AY17" s="210" t="s">
        <v>10</v>
      </c>
      <c r="AZ17" s="89"/>
    </row>
    <row r="18" spans="1:52" ht="21" x14ac:dyDescent="0.35">
      <c r="A18" s="89"/>
      <c r="B18" s="217" t="e">
        <f>100-C18-D18-E18-F18-G18-H18-I18-J18-K18-L18-M18-N18-O18-P18-Q18-R18-S18-T18-U18-V18-W18-X18-Y18-Z18</f>
        <v>#DIV/0!</v>
      </c>
      <c r="C18" s="218">
        <f>C7</f>
        <v>0</v>
      </c>
      <c r="D18" s="218" t="e">
        <f t="shared" ref="D18:Z18" si="3">D4</f>
        <v>#DIV/0!</v>
      </c>
      <c r="E18" s="218" t="e">
        <f t="shared" si="3"/>
        <v>#DIV/0!</v>
      </c>
      <c r="F18" s="218" t="e">
        <f t="shared" si="3"/>
        <v>#DIV/0!</v>
      </c>
      <c r="G18" s="218" t="e">
        <f>G7</f>
        <v>#DIV/0!</v>
      </c>
      <c r="H18" s="218" t="e">
        <f t="shared" si="3"/>
        <v>#DIV/0!</v>
      </c>
      <c r="I18" s="218" t="e">
        <f t="shared" si="3"/>
        <v>#DIV/0!</v>
      </c>
      <c r="J18" s="218" t="e">
        <f t="shared" si="3"/>
        <v>#DIV/0!</v>
      </c>
      <c r="K18" s="218" t="e">
        <f t="shared" si="3"/>
        <v>#DIV/0!</v>
      </c>
      <c r="L18" s="218">
        <f>L7</f>
        <v>0</v>
      </c>
      <c r="M18" s="218">
        <f>M7</f>
        <v>0</v>
      </c>
      <c r="N18" s="218" t="e">
        <f>N7</f>
        <v>#DIV/0!</v>
      </c>
      <c r="O18" s="218" t="e">
        <f t="shared" si="3"/>
        <v>#DIV/0!</v>
      </c>
      <c r="P18" s="218" t="e">
        <f t="shared" si="3"/>
        <v>#DIV/0!</v>
      </c>
      <c r="Q18" s="218" t="e">
        <f t="shared" si="3"/>
        <v>#DIV/0!</v>
      </c>
      <c r="R18" s="218" t="e">
        <f t="shared" si="3"/>
        <v>#DIV/0!</v>
      </c>
      <c r="S18" s="218" t="e">
        <f t="shared" si="3"/>
        <v>#DIV/0!</v>
      </c>
      <c r="T18" s="218" t="e">
        <f t="shared" si="3"/>
        <v>#DIV/0!</v>
      </c>
      <c r="U18" s="218" t="e">
        <f t="shared" si="3"/>
        <v>#DIV/0!</v>
      </c>
      <c r="V18" s="218" t="e">
        <f t="shared" si="3"/>
        <v>#DIV/0!</v>
      </c>
      <c r="W18" s="218" t="e">
        <f t="shared" si="3"/>
        <v>#DIV/0!</v>
      </c>
      <c r="X18" s="218" t="e">
        <f t="shared" si="3"/>
        <v>#DIV/0!</v>
      </c>
      <c r="Y18" s="218" t="e">
        <f t="shared" si="3"/>
        <v>#DIV/0!</v>
      </c>
      <c r="Z18" s="218" t="e">
        <f t="shared" si="3"/>
        <v>#DIV/0!</v>
      </c>
      <c r="AA18" s="219">
        <v>55.84</v>
      </c>
      <c r="AB18" s="219">
        <v>28.0855</v>
      </c>
      <c r="AC18" s="219">
        <v>58.693399999999997</v>
      </c>
      <c r="AD18" s="219">
        <v>63.545999999999999</v>
      </c>
      <c r="AE18" s="219">
        <v>65.38</v>
      </c>
      <c r="AF18" s="219">
        <v>12.01</v>
      </c>
      <c r="AG18" s="219">
        <v>30.973762000000001</v>
      </c>
      <c r="AH18" s="219">
        <v>32.064999999999998</v>
      </c>
      <c r="AI18" s="219">
        <v>14.0067</v>
      </c>
      <c r="AJ18" s="219">
        <v>10.81</v>
      </c>
      <c r="AK18" s="219">
        <v>54.938043999999998</v>
      </c>
      <c r="AL18" s="219">
        <v>26.981539999999999</v>
      </c>
      <c r="AM18" s="219">
        <v>51.996099999999998</v>
      </c>
      <c r="AN18" s="219">
        <v>95.95</v>
      </c>
      <c r="AO18" s="220">
        <v>47.866999999999997</v>
      </c>
      <c r="AP18" s="220">
        <v>50.941499999999998</v>
      </c>
      <c r="AQ18" s="220">
        <v>92.906369999999995</v>
      </c>
      <c r="AR18" s="220">
        <v>183.84</v>
      </c>
      <c r="AS18" s="220">
        <v>180.94788</v>
      </c>
      <c r="AT18" s="220">
        <v>91.224000000000004</v>
      </c>
      <c r="AU18" s="220">
        <v>58.933194999999998</v>
      </c>
      <c r="AV18" s="220">
        <v>24.305</v>
      </c>
      <c r="AW18" s="219">
        <v>121.76</v>
      </c>
      <c r="AX18" s="219">
        <v>207.2</v>
      </c>
      <c r="AY18" s="219">
        <v>118.71</v>
      </c>
      <c r="AZ18" s="89"/>
    </row>
    <row r="19" spans="1:52" ht="21" x14ac:dyDescent="0.35">
      <c r="A19" s="89"/>
      <c r="B19" s="217" t="e">
        <f>100*((((B18)*(AA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C19" s="217" t="e">
        <f>100*((((C18)*(AB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D19" s="217" t="e">
        <f>100*((((D18)*(AC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E19" s="217" t="e">
        <f>100*((((E18)*(AD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F19" s="217" t="e">
        <f>100*((((F18)*(AE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G19" s="217" t="e">
        <f>100*((((G18)*(AF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H19" s="217" t="e">
        <f>100*((((H18)*(AG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I19" s="217" t="e">
        <f>100*((((I18)*(AH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J19" s="217" t="e">
        <f>100*((((J18)*(AI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K19" s="217" t="e">
        <f>100*((((K18)*(AJ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L19" s="217" t="e">
        <f>100*((((L18)*(AK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M19" s="217" t="e">
        <f>100*((((M18)*(AL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N19" s="217" t="e">
        <f>100*((((N18)*(AM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O19" s="217" t="e">
        <f>100*((((O18)*(AN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P19" s="217" t="e">
        <f>100*((((P18)*(AO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Q19" s="217" t="e">
        <f>100*((((Q18)*(AP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R19" s="217" t="e">
        <f>100*((((R18)*(AQ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S19" s="217" t="e">
        <f>100*((((S18)*(AR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T19" s="217" t="e">
        <f>100*((((T18)*(AS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U19" s="217" t="e">
        <f>100*((((U18)*(AT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V19" s="217" t="e">
        <f>100*((((V18)*(AU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W19" s="217" t="e">
        <f>100*((((W18)*(AV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X19" s="219" t="e">
        <f>100*((((X18)*(AW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Y19" s="219" t="e">
        <f>100*((((Y18)*(AX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Z19" s="219" t="e">
        <f>100*((((Z18)*(AY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89"/>
    </row>
    <row r="20" spans="1:52" ht="21" x14ac:dyDescent="0.35">
      <c r="A20" s="89"/>
      <c r="B20" s="89"/>
      <c r="C20" s="89"/>
      <c r="D20" s="89"/>
      <c r="E20" s="89" t="e">
        <f>E19/'opt 7'!G6</f>
        <v>#DIV/0!</v>
      </c>
      <c r="F20" s="89" t="e">
        <f>F19/'opt 7'!G6</f>
        <v>#DIV/0!</v>
      </c>
      <c r="G20" s="89" t="e">
        <f>G19/'opt 7'!G6</f>
        <v>#DIV/0!</v>
      </c>
      <c r="H20" s="89" t="e">
        <f>H19/'opt 7'!G6</f>
        <v>#DIV/0!</v>
      </c>
      <c r="I20" s="89" t="e">
        <f>I19/'opt 7'!G6</f>
        <v>#DIV/0!</v>
      </c>
      <c r="J20" s="89"/>
      <c r="K20" s="89"/>
      <c r="L20" s="89" t="e">
        <f>L19/'opt 7'!G6</f>
        <v>#DIV/0!</v>
      </c>
      <c r="M20" s="89" t="e">
        <f>M19/'opt 7'!G6</f>
        <v>#DIV/0!</v>
      </c>
      <c r="N20" s="89" t="e">
        <f>N19/'opt 7'!G6</f>
        <v>#DIV/0!</v>
      </c>
      <c r="O20" s="89" t="e">
        <f>O19/'opt 7'!G6</f>
        <v>#DIV/0!</v>
      </c>
      <c r="P20" s="89" t="e">
        <f>P19/'opt 7'!G6</f>
        <v>#DIV/0!</v>
      </c>
      <c r="Q20" s="89" t="e">
        <f>Q19/'opt 7'!G6</f>
        <v>#DIV/0!</v>
      </c>
      <c r="R20" s="89" t="e">
        <f>R19/'opt 7'!G6</f>
        <v>#DIV/0!</v>
      </c>
      <c r="S20" s="89" t="e">
        <f>S19/'opt 7'!G6</f>
        <v>#DIV/0!</v>
      </c>
      <c r="T20" s="89" t="e">
        <f>T19/'opt 7'!G6</f>
        <v>#DIV/0!</v>
      </c>
      <c r="U20" s="89" t="e">
        <f>U19/'opt 7'!G6</f>
        <v>#DIV/0!</v>
      </c>
      <c r="V20" s="89" t="e">
        <f>V19/'opt 7'!G6</f>
        <v>#DIV/0!</v>
      </c>
      <c r="W20" s="89" t="e">
        <f>W19/'opt 7'!G6</f>
        <v>#DIV/0!</v>
      </c>
      <c r="X20" s="89" t="e">
        <f>X19/'opt 7'!G6</f>
        <v>#DIV/0!</v>
      </c>
      <c r="Y20" s="89" t="e">
        <f>Y19/'opt 7'!G6</f>
        <v>#DIV/0!</v>
      </c>
      <c r="Z20" s="89" t="e">
        <f>Z19/'opt 7'!G6</f>
        <v>#DIV/0!</v>
      </c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</row>
    <row r="21" spans="1:52" ht="21" x14ac:dyDescent="0.3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</row>
    <row r="22" spans="1:52" ht="21" x14ac:dyDescent="0.3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</row>
    <row r="23" spans="1:52" ht="21" x14ac:dyDescent="0.3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</row>
    <row r="24" spans="1:52" ht="21" x14ac:dyDescent="0.3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</row>
    <row r="25" spans="1:52" ht="21" x14ac:dyDescent="0.3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</row>
    <row r="26" spans="1:52" ht="21" x14ac:dyDescent="0.35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</row>
    <row r="27" spans="1:52" ht="21" x14ac:dyDescent="0.35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</row>
    <row r="28" spans="1:52" ht="21" x14ac:dyDescent="0.35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</row>
    <row r="29" spans="1:52" ht="21" x14ac:dyDescent="0.35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</row>
  </sheetData>
  <pageMargins left="0.7" right="0.7" top="0.75" bottom="0.75" header="0.3" footer="0.3"/>
  <pageSetup paperSize="9" orientation="portrait" verticalDpi="597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C43C-0310-48E0-9D19-981AA8B3B459}">
  <dimension ref="A1:AZ29"/>
  <sheetViews>
    <sheetView zoomScale="96" zoomScaleNormal="96" workbookViewId="0">
      <selection activeCell="E16" sqref="E16"/>
    </sheetView>
  </sheetViews>
  <sheetFormatPr baseColWidth="10" defaultColWidth="8.7109375" defaultRowHeight="15" x14ac:dyDescent="0.25"/>
  <cols>
    <col min="1" max="1" width="27.42578125" customWidth="1"/>
    <col min="2" max="2" width="16" customWidth="1"/>
    <col min="3" max="3" width="11.140625" customWidth="1"/>
    <col min="4" max="4" width="8.28515625" customWidth="1"/>
    <col min="5" max="6" width="9.7109375" customWidth="1"/>
    <col min="7" max="7" width="10" customWidth="1"/>
    <col min="8" max="8" width="8.85546875" customWidth="1"/>
    <col min="9" max="9" width="9.42578125" customWidth="1"/>
    <col min="10" max="11" width="12.7109375" customWidth="1"/>
    <col min="12" max="12" width="8.28515625" customWidth="1"/>
    <col min="13" max="13" width="8.42578125" customWidth="1"/>
    <col min="14" max="14" width="9" customWidth="1"/>
    <col min="15" max="15" width="11.85546875" customWidth="1"/>
    <col min="16" max="17" width="8.85546875" bestFit="1" customWidth="1"/>
  </cols>
  <sheetData>
    <row r="1" spans="1:52" ht="21" x14ac:dyDescent="0.35">
      <c r="A1" s="89" t="s">
        <v>34</v>
      </c>
      <c r="B1" s="190"/>
      <c r="C1" s="190">
        <f>C5-C2</f>
        <v>3.0806052622011419</v>
      </c>
      <c r="D1" s="190">
        <f>D4-D2</f>
        <v>1.3390140731654472</v>
      </c>
      <c r="E1" s="190">
        <f>E2-E5</f>
        <v>0</v>
      </c>
      <c r="F1" s="190">
        <f>F4-F2</f>
        <v>0</v>
      </c>
      <c r="G1" s="190">
        <f t="shared" ref="G1:O1" si="0">G4-G2</f>
        <v>0.91521970155323784</v>
      </c>
      <c r="H1" s="190">
        <f t="shared" si="0"/>
        <v>8.8718546811123438E-3</v>
      </c>
      <c r="I1" s="190">
        <f>I4-I2</f>
        <v>1.7139854382745025E-3</v>
      </c>
      <c r="J1" s="190">
        <f>J5-J2</f>
        <v>0</v>
      </c>
      <c r="K1" s="190">
        <f>K5-K2</f>
        <v>0</v>
      </c>
      <c r="L1" s="190">
        <f t="shared" si="0"/>
        <v>1.6006086588236572</v>
      </c>
      <c r="M1" s="190">
        <f t="shared" si="0"/>
        <v>2.2612196288118464E-3</v>
      </c>
      <c r="N1" s="190">
        <f t="shared" si="0"/>
        <v>1.3740766327042508</v>
      </c>
      <c r="O1" s="190">
        <f t="shared" si="0"/>
        <v>0.10882959025400381</v>
      </c>
      <c r="P1" s="190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</row>
    <row r="2" spans="1:52" ht="21" x14ac:dyDescent="0.35">
      <c r="A2" s="89" t="s">
        <v>37</v>
      </c>
      <c r="B2" s="191">
        <f>100-C2-D2-E2-F2-G2-H2-I2-J2-K2-L2-M2-N2-O2</f>
        <v>100</v>
      </c>
      <c r="C2" s="89">
        <f>'1.0330_3'!C10</f>
        <v>0</v>
      </c>
      <c r="D2" s="89">
        <f>'1.0330_3'!D10</f>
        <v>0</v>
      </c>
      <c r="E2" s="89">
        <f>'1.0330_3'!E10</f>
        <v>0</v>
      </c>
      <c r="F2" s="89">
        <f>'1.0330_3'!F10</f>
        <v>0</v>
      </c>
      <c r="G2" s="89">
        <f>'1.0330_3'!G10</f>
        <v>0</v>
      </c>
      <c r="H2" s="89">
        <f>'1.0330_3'!H10</f>
        <v>0</v>
      </c>
      <c r="I2" s="89">
        <f>'1.0330_3'!I10</f>
        <v>0</v>
      </c>
      <c r="J2" s="89">
        <f>'1.0330_3'!J10</f>
        <v>0</v>
      </c>
      <c r="K2" s="89">
        <f>'1.0330_3'!K10</f>
        <v>0</v>
      </c>
      <c r="L2" s="89">
        <f>'1.0330_3'!L10</f>
        <v>0</v>
      </c>
      <c r="M2" s="89">
        <f>'1.0330_3'!M10</f>
        <v>0</v>
      </c>
      <c r="N2" s="89">
        <f>'1.0330_3'!N10</f>
        <v>0</v>
      </c>
      <c r="O2" s="89">
        <f>'1.0330_3'!O10</f>
        <v>0</v>
      </c>
      <c r="P2" s="89">
        <f>'1.0330_3'!P10</f>
        <v>0</v>
      </c>
      <c r="Q2" s="89">
        <f>'1.0330_3'!Q10</f>
        <v>0</v>
      </c>
      <c r="R2" s="89">
        <f>'1.0330_3'!R10</f>
        <v>0</v>
      </c>
      <c r="S2" s="89">
        <f>'1.0330_3'!S10</f>
        <v>0</v>
      </c>
      <c r="T2" s="89">
        <f>'1.0330_3'!T10</f>
        <v>0</v>
      </c>
      <c r="U2" s="89">
        <f>'1.0330_3'!U10</f>
        <v>0</v>
      </c>
      <c r="V2" s="89">
        <f>'1.0330_3'!V10</f>
        <v>0</v>
      </c>
      <c r="W2" s="89">
        <f>'1.0330_3'!W10</f>
        <v>0</v>
      </c>
      <c r="X2" s="89">
        <f>'1.0330_3'!X10</f>
        <v>0</v>
      </c>
      <c r="Y2" s="89">
        <f>'1.0330_3'!Y10</f>
        <v>0</v>
      </c>
      <c r="Z2" s="89">
        <f>'1.0330_3'!Z10</f>
        <v>0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</row>
    <row r="3" spans="1:52" ht="21" x14ac:dyDescent="0.35">
      <c r="A3" s="89"/>
      <c r="B3" s="210" t="s">
        <v>14</v>
      </c>
      <c r="C3" s="210" t="s">
        <v>15</v>
      </c>
      <c r="D3" s="210" t="s">
        <v>8</v>
      </c>
      <c r="E3" s="210" t="s">
        <v>9</v>
      </c>
      <c r="F3" s="210" t="s">
        <v>234</v>
      </c>
      <c r="G3" s="210" t="s">
        <v>56</v>
      </c>
      <c r="H3" s="210" t="s">
        <v>57</v>
      </c>
      <c r="I3" s="210" t="s">
        <v>58</v>
      </c>
      <c r="J3" s="210" t="s">
        <v>77</v>
      </c>
      <c r="K3" s="210" t="s">
        <v>204</v>
      </c>
      <c r="L3" s="210" t="s">
        <v>16</v>
      </c>
      <c r="M3" s="210" t="s">
        <v>12</v>
      </c>
      <c r="N3" s="210" t="s">
        <v>44</v>
      </c>
      <c r="O3" s="210" t="s">
        <v>55</v>
      </c>
      <c r="P3" s="210" t="s">
        <v>17</v>
      </c>
      <c r="Q3" s="210" t="s">
        <v>80</v>
      </c>
      <c r="R3" s="210" t="s">
        <v>81</v>
      </c>
      <c r="S3" s="210" t="s">
        <v>82</v>
      </c>
      <c r="T3" s="210" t="s">
        <v>83</v>
      </c>
      <c r="U3" s="210" t="s">
        <v>45</v>
      </c>
      <c r="V3" s="210" t="s">
        <v>43</v>
      </c>
      <c r="W3" s="210" t="s">
        <v>13</v>
      </c>
      <c r="X3" s="210" t="s">
        <v>0</v>
      </c>
      <c r="Y3" s="210" t="s">
        <v>11</v>
      </c>
      <c r="Z3" s="210" t="s">
        <v>10</v>
      </c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</row>
    <row r="4" spans="1:52" ht="21" x14ac:dyDescent="0.35">
      <c r="A4" s="89" t="s">
        <v>35</v>
      </c>
      <c r="B4" s="190">
        <f>100-C4-D4-E4-F4-G4-H4-I4-J4-K4-L4-M4-N4-O4-P4-Q4-R4-S4-T4-U4-V4-W4-X4-Y4-Z4</f>
        <v>92.840162287943642</v>
      </c>
      <c r="C4" s="190">
        <f>'opt 1'!B3</f>
        <v>1.741591189035695</v>
      </c>
      <c r="D4" s="190">
        <f>'opt 1'!C3</f>
        <v>1.3390140731654472</v>
      </c>
      <c r="E4" s="190">
        <f>'opt 1'!D3</f>
        <v>0</v>
      </c>
      <c r="F4" s="190">
        <f>'opt 1'!E3</f>
        <v>0</v>
      </c>
      <c r="G4" s="190">
        <f>'opt 1'!F3</f>
        <v>0.91521970155323784</v>
      </c>
      <c r="H4" s="190">
        <f>'opt 1'!G3</f>
        <v>8.8718546811123438E-3</v>
      </c>
      <c r="I4" s="190">
        <f>'opt 1'!H3</f>
        <v>1.7139854382745025E-3</v>
      </c>
      <c r="J4" s="190">
        <f>'opt 1'!I3</f>
        <v>3.9237609914021089E-3</v>
      </c>
      <c r="K4" s="190">
        <f>'opt 1'!J3</f>
        <v>7.6261253115085933E-3</v>
      </c>
      <c r="L4" s="190">
        <f>'opt 1'!K3</f>
        <v>1.6006086588236572</v>
      </c>
      <c r="M4" s="190">
        <f>'opt 1'!L3</f>
        <v>2.2612196288118464E-3</v>
      </c>
      <c r="N4" s="190">
        <f>'opt 1'!M3</f>
        <v>1.3740766327042508</v>
      </c>
      <c r="O4" s="190">
        <f>'opt 1'!N3</f>
        <v>0.10882959025400381</v>
      </c>
      <c r="P4" s="190">
        <f>'opt 1'!O3</f>
        <v>0</v>
      </c>
      <c r="Q4" s="89">
        <f>'opt 1'!P3</f>
        <v>5.6100920468972061E-2</v>
      </c>
      <c r="R4" s="89">
        <f>'opt 1'!Q3</f>
        <v>0</v>
      </c>
      <c r="S4" s="89">
        <f>'opt 1'!R3</f>
        <v>0</v>
      </c>
      <c r="T4" s="89">
        <f>'opt 1'!S3</f>
        <v>0</v>
      </c>
      <c r="U4" s="89">
        <f>'opt 1'!T3</f>
        <v>0</v>
      </c>
      <c r="V4" s="89">
        <f>'opt 1'!U3</f>
        <v>0</v>
      </c>
      <c r="W4" s="89">
        <f>'opt 1'!V3</f>
        <v>0</v>
      </c>
      <c r="X4" s="89">
        <f>'opt 1'!W3</f>
        <v>0</v>
      </c>
      <c r="Y4" s="89">
        <f>'opt 1'!X3</f>
        <v>0</v>
      </c>
      <c r="Z4" s="89">
        <f>'opt 1'!Y3</f>
        <v>0</v>
      </c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</row>
    <row r="5" spans="1:52" ht="21" x14ac:dyDescent="0.35">
      <c r="A5" s="89" t="s">
        <v>36</v>
      </c>
      <c r="B5" s="190">
        <f>100-C5-D5-E5-F5-G5-H5-I5-J5-K5-L5-M5-N5-O5</f>
        <v>95.129458622201113</v>
      </c>
      <c r="C5" s="149">
        <f>C4+D4+E4+F4</f>
        <v>3.0806052622011419</v>
      </c>
      <c r="D5" s="158"/>
      <c r="E5" s="159"/>
      <c r="F5" s="159"/>
      <c r="G5" s="159">
        <f>G2+H4+I4+J4+K4</f>
        <v>2.2135726422297549E-2</v>
      </c>
      <c r="H5" s="159"/>
      <c r="I5" s="159"/>
      <c r="J5" s="149"/>
      <c r="K5" s="149"/>
      <c r="L5" s="7">
        <f>L4</f>
        <v>1.6006086588236572</v>
      </c>
      <c r="M5" s="7">
        <f>M4+P4+Q4+R4+S4+T4+U4+V4+W4+X4+Y4+Z4</f>
        <v>5.8362140097783906E-2</v>
      </c>
      <c r="N5" s="7">
        <f>N2+O4</f>
        <v>0.10882959025400381</v>
      </c>
      <c r="O5" s="7"/>
      <c r="P5" s="7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</row>
    <row r="6" spans="1:52" ht="21" x14ac:dyDescent="0.35">
      <c r="A6" s="89"/>
      <c r="B6" s="190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</row>
    <row r="7" spans="1:52" ht="21" x14ac:dyDescent="0.35">
      <c r="A7" s="89" t="s">
        <v>92</v>
      </c>
      <c r="B7" s="153">
        <f>100-C7-D7-E7-F7-G7-H7-I7-J7-K7-L7-M7-N7-O7-P7-Q7-R7-S7-T7-U7-V7-W7-X7-Y7-Z7</f>
        <v>101.52608031031072</v>
      </c>
      <c r="C7" s="156">
        <f>C2-D4-E4-F4</f>
        <v>-1.3390140731654472</v>
      </c>
      <c r="D7" s="156">
        <f>D2</f>
        <v>0</v>
      </c>
      <c r="E7" s="156"/>
      <c r="F7" s="156"/>
      <c r="G7" s="156">
        <f>G2-H4-I4-J4-K4</f>
        <v>-2.2135726422297549E-2</v>
      </c>
      <c r="H7" s="156"/>
      <c r="I7" s="156"/>
      <c r="J7" s="156"/>
      <c r="K7" s="156"/>
      <c r="L7" s="156">
        <f>L2</f>
        <v>0</v>
      </c>
      <c r="M7" s="156">
        <f>M2-P4-Q4-R4-S4-T4-U4-V4-W4-X4-Y4-Z4</f>
        <v>-5.6100920468972061E-2</v>
      </c>
      <c r="N7" s="156">
        <f>N2-O4</f>
        <v>-0.10882959025400381</v>
      </c>
      <c r="O7" s="156"/>
      <c r="P7" s="156"/>
      <c r="Q7" s="177"/>
      <c r="R7" s="177"/>
      <c r="S7" s="177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</row>
    <row r="8" spans="1:52" ht="21" x14ac:dyDescent="0.35">
      <c r="A8" s="89"/>
      <c r="B8" s="190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</row>
    <row r="9" spans="1:52" ht="21" x14ac:dyDescent="0.35">
      <c r="A9" s="89"/>
      <c r="B9" s="190"/>
      <c r="C9" s="190"/>
      <c r="D9" s="190"/>
      <c r="E9" s="190"/>
      <c r="F9" s="190" t="s">
        <v>7</v>
      </c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</row>
    <row r="10" spans="1:52" ht="21" x14ac:dyDescent="0.35">
      <c r="A10" s="89" t="s">
        <v>32</v>
      </c>
      <c r="B10" s="193"/>
      <c r="C10" s="193"/>
      <c r="D10" s="190"/>
      <c r="E10" s="193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</row>
    <row r="11" spans="1:52" ht="21" x14ac:dyDescent="0.35">
      <c r="A11" s="89" t="s">
        <v>33</v>
      </c>
      <c r="B11" s="192"/>
      <c r="C11" s="192"/>
      <c r="D11" s="190"/>
      <c r="E11" s="192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</row>
    <row r="12" spans="1:52" ht="21" x14ac:dyDescent="0.35">
      <c r="A12" s="89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</row>
    <row r="13" spans="1:52" ht="21" x14ac:dyDescent="0.35">
      <c r="A13" s="89"/>
      <c r="B13" s="190" t="s">
        <v>14</v>
      </c>
      <c r="C13" s="193" t="s">
        <v>56</v>
      </c>
      <c r="D13" s="193" t="s">
        <v>15</v>
      </c>
      <c r="E13" s="192" t="s">
        <v>8</v>
      </c>
      <c r="F13" s="193" t="s">
        <v>9</v>
      </c>
      <c r="G13" s="193" t="s">
        <v>57</v>
      </c>
      <c r="H13" s="192" t="s">
        <v>58</v>
      </c>
      <c r="I13" s="193" t="s">
        <v>77</v>
      </c>
      <c r="J13" s="192" t="s">
        <v>13</v>
      </c>
      <c r="K13" s="193" t="s">
        <v>16</v>
      </c>
      <c r="L13" s="193" t="s">
        <v>55</v>
      </c>
      <c r="M13" s="192" t="s">
        <v>44</v>
      </c>
      <c r="N13" s="192" t="s">
        <v>10</v>
      </c>
      <c r="O13" s="193" t="s">
        <v>12</v>
      </c>
      <c r="P13" s="190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</row>
    <row r="14" spans="1:52" ht="21" x14ac:dyDescent="0.35">
      <c r="A14" s="89" t="s">
        <v>39</v>
      </c>
      <c r="B14" s="190">
        <f>100-(C14+D14+E14+F14+G14+H14+I14+J14+K14+L14+M14+N14+O14)</f>
        <v>99.549077957567704</v>
      </c>
      <c r="C14" s="190">
        <f>C5-C1</f>
        <v>0</v>
      </c>
      <c r="D14" s="190">
        <f>D5-D1</f>
        <v>-1.3390140731654472</v>
      </c>
      <c r="E14" s="190">
        <f t="shared" ref="E14:I14" si="1">E5</f>
        <v>0</v>
      </c>
      <c r="F14" s="190">
        <f t="shared" si="1"/>
        <v>0</v>
      </c>
      <c r="G14" s="190">
        <f t="shared" si="1"/>
        <v>2.2135726422297549E-2</v>
      </c>
      <c r="H14" s="190">
        <f t="shared" si="1"/>
        <v>0</v>
      </c>
      <c r="I14" s="190">
        <f t="shared" si="1"/>
        <v>0</v>
      </c>
      <c r="J14" s="190">
        <f>J5-J1</f>
        <v>0</v>
      </c>
      <c r="K14" s="190">
        <f>K5-K1</f>
        <v>0</v>
      </c>
      <c r="L14" s="190">
        <f t="shared" ref="L14:O14" si="2">L5</f>
        <v>1.6006086588236572</v>
      </c>
      <c r="M14" s="190">
        <f t="shared" si="2"/>
        <v>5.8362140097783906E-2</v>
      </c>
      <c r="N14" s="190">
        <f t="shared" si="2"/>
        <v>0.10882959025400381</v>
      </c>
      <c r="O14" s="190">
        <f t="shared" si="2"/>
        <v>0</v>
      </c>
      <c r="P14" s="190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</row>
    <row r="15" spans="1:52" ht="21" x14ac:dyDescent="0.3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</row>
    <row r="16" spans="1:52" ht="21" x14ac:dyDescent="0.3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</row>
    <row r="17" spans="1:52" ht="21" x14ac:dyDescent="0.35">
      <c r="A17" s="89"/>
      <c r="B17" s="210" t="s">
        <v>14</v>
      </c>
      <c r="C17" s="210" t="s">
        <v>15</v>
      </c>
      <c r="D17" s="210" t="s">
        <v>8</v>
      </c>
      <c r="E17" s="210" t="s">
        <v>9</v>
      </c>
      <c r="F17" s="210" t="s">
        <v>234</v>
      </c>
      <c r="G17" s="210" t="s">
        <v>56</v>
      </c>
      <c r="H17" s="210" t="s">
        <v>57</v>
      </c>
      <c r="I17" s="210" t="s">
        <v>58</v>
      </c>
      <c r="J17" s="210" t="s">
        <v>77</v>
      </c>
      <c r="K17" s="210" t="s">
        <v>204</v>
      </c>
      <c r="L17" s="210" t="s">
        <v>16</v>
      </c>
      <c r="M17" s="210" t="s">
        <v>12</v>
      </c>
      <c r="N17" s="210" t="s">
        <v>44</v>
      </c>
      <c r="O17" s="210" t="s">
        <v>55</v>
      </c>
      <c r="P17" s="210" t="s">
        <v>17</v>
      </c>
      <c r="Q17" s="210" t="s">
        <v>80</v>
      </c>
      <c r="R17" s="210" t="s">
        <v>81</v>
      </c>
      <c r="S17" s="210" t="s">
        <v>82</v>
      </c>
      <c r="T17" s="210" t="s">
        <v>83</v>
      </c>
      <c r="U17" s="210" t="s">
        <v>45</v>
      </c>
      <c r="V17" s="210" t="s">
        <v>43</v>
      </c>
      <c r="W17" s="210" t="s">
        <v>13</v>
      </c>
      <c r="X17" s="210" t="s">
        <v>0</v>
      </c>
      <c r="Y17" s="210" t="s">
        <v>11</v>
      </c>
      <c r="Z17" s="210" t="s">
        <v>10</v>
      </c>
      <c r="AA17" s="211" t="s">
        <v>14</v>
      </c>
      <c r="AB17" s="212" t="s">
        <v>15</v>
      </c>
      <c r="AC17" s="213" t="s">
        <v>8</v>
      </c>
      <c r="AD17" s="214" t="s">
        <v>9</v>
      </c>
      <c r="AE17" s="213" t="s">
        <v>234</v>
      </c>
      <c r="AF17" s="213" t="s">
        <v>56</v>
      </c>
      <c r="AG17" s="214" t="s">
        <v>57</v>
      </c>
      <c r="AH17" s="213" t="s">
        <v>58</v>
      </c>
      <c r="AI17" s="215" t="s">
        <v>77</v>
      </c>
      <c r="AJ17" s="216" t="s">
        <v>204</v>
      </c>
      <c r="AK17" s="216" t="s">
        <v>16</v>
      </c>
      <c r="AL17" s="215" t="s">
        <v>12</v>
      </c>
      <c r="AM17" s="215" t="s">
        <v>44</v>
      </c>
      <c r="AN17" s="216" t="s">
        <v>55</v>
      </c>
      <c r="AO17" s="210" t="s">
        <v>17</v>
      </c>
      <c r="AP17" s="210" t="s">
        <v>80</v>
      </c>
      <c r="AQ17" s="210" t="s">
        <v>81</v>
      </c>
      <c r="AR17" s="210" t="s">
        <v>82</v>
      </c>
      <c r="AS17" s="210" t="s">
        <v>83</v>
      </c>
      <c r="AT17" s="210" t="s">
        <v>45</v>
      </c>
      <c r="AU17" s="210" t="s">
        <v>43</v>
      </c>
      <c r="AV17" s="210" t="s">
        <v>13</v>
      </c>
      <c r="AW17" s="210" t="s">
        <v>0</v>
      </c>
      <c r="AX17" s="210" t="s">
        <v>11</v>
      </c>
      <c r="AY17" s="210" t="s">
        <v>10</v>
      </c>
      <c r="AZ17" s="89"/>
    </row>
    <row r="18" spans="1:52" ht="21" x14ac:dyDescent="0.35">
      <c r="A18" s="89"/>
      <c r="B18" s="217">
        <f>100-C18-D18-E18-F18-G18-H18-I18-J18-K18-L18-M18-N18-O18-P18-Q18-R18-S18-T18-U18-V18-W18-X18-Y18-Z18</f>
        <v>100</v>
      </c>
      <c r="C18" s="218">
        <f>C7</f>
        <v>-1.3390140731654472</v>
      </c>
      <c r="D18" s="218">
        <f t="shared" ref="D18:Z18" si="3">D4</f>
        <v>1.3390140731654472</v>
      </c>
      <c r="E18" s="218">
        <f t="shared" si="3"/>
        <v>0</v>
      </c>
      <c r="F18" s="218">
        <f t="shared" si="3"/>
        <v>0</v>
      </c>
      <c r="G18" s="218">
        <f>G7</f>
        <v>-2.2135726422297549E-2</v>
      </c>
      <c r="H18" s="218">
        <f t="shared" si="3"/>
        <v>8.8718546811123438E-3</v>
      </c>
      <c r="I18" s="218">
        <f t="shared" si="3"/>
        <v>1.7139854382745025E-3</v>
      </c>
      <c r="J18" s="218">
        <f t="shared" si="3"/>
        <v>3.9237609914021089E-3</v>
      </c>
      <c r="K18" s="218">
        <f t="shared" si="3"/>
        <v>7.6261253115085933E-3</v>
      </c>
      <c r="L18" s="218">
        <f>L7</f>
        <v>0</v>
      </c>
      <c r="M18" s="218">
        <f>M7</f>
        <v>-5.6100920468972061E-2</v>
      </c>
      <c r="N18" s="218">
        <f>N7</f>
        <v>-0.10882959025400381</v>
      </c>
      <c r="O18" s="218">
        <f t="shared" si="3"/>
        <v>0.10882959025400381</v>
      </c>
      <c r="P18" s="218">
        <f t="shared" si="3"/>
        <v>0</v>
      </c>
      <c r="Q18" s="218">
        <f t="shared" si="3"/>
        <v>5.6100920468972061E-2</v>
      </c>
      <c r="R18" s="218">
        <f t="shared" si="3"/>
        <v>0</v>
      </c>
      <c r="S18" s="218">
        <f t="shared" si="3"/>
        <v>0</v>
      </c>
      <c r="T18" s="218">
        <f t="shared" si="3"/>
        <v>0</v>
      </c>
      <c r="U18" s="218">
        <f t="shared" si="3"/>
        <v>0</v>
      </c>
      <c r="V18" s="218">
        <f t="shared" si="3"/>
        <v>0</v>
      </c>
      <c r="W18" s="218">
        <f t="shared" si="3"/>
        <v>0</v>
      </c>
      <c r="X18" s="218">
        <f t="shared" si="3"/>
        <v>0</v>
      </c>
      <c r="Y18" s="218">
        <f t="shared" si="3"/>
        <v>0</v>
      </c>
      <c r="Z18" s="218">
        <f t="shared" si="3"/>
        <v>0</v>
      </c>
      <c r="AA18" s="219">
        <v>55.84</v>
      </c>
      <c r="AB18" s="219">
        <v>28.0855</v>
      </c>
      <c r="AC18" s="219">
        <v>58.693399999999997</v>
      </c>
      <c r="AD18" s="219">
        <v>63.545999999999999</v>
      </c>
      <c r="AE18" s="219">
        <v>65.38</v>
      </c>
      <c r="AF18" s="219">
        <v>12.01</v>
      </c>
      <c r="AG18" s="219">
        <v>30.973762000000001</v>
      </c>
      <c r="AH18" s="219">
        <v>32.064999999999998</v>
      </c>
      <c r="AI18" s="219">
        <v>14.0067</v>
      </c>
      <c r="AJ18" s="219">
        <v>10.81</v>
      </c>
      <c r="AK18" s="219">
        <v>54.938043999999998</v>
      </c>
      <c r="AL18" s="219">
        <v>26.981539999999999</v>
      </c>
      <c r="AM18" s="219">
        <v>51.996099999999998</v>
      </c>
      <c r="AN18" s="219">
        <v>95.95</v>
      </c>
      <c r="AO18" s="220">
        <v>47.866999999999997</v>
      </c>
      <c r="AP18" s="220">
        <v>50.941499999999998</v>
      </c>
      <c r="AQ18" s="220">
        <v>92.906369999999995</v>
      </c>
      <c r="AR18" s="220">
        <v>183.84</v>
      </c>
      <c r="AS18" s="220">
        <v>180.94788</v>
      </c>
      <c r="AT18" s="220">
        <v>91.224000000000004</v>
      </c>
      <c r="AU18" s="220">
        <v>58.933194999999998</v>
      </c>
      <c r="AV18" s="220">
        <v>24.305</v>
      </c>
      <c r="AW18" s="219">
        <v>121.76</v>
      </c>
      <c r="AX18" s="219">
        <v>207.2</v>
      </c>
      <c r="AY18" s="219">
        <v>118.71</v>
      </c>
      <c r="AZ18" s="89"/>
    </row>
    <row r="19" spans="1:52" ht="21" x14ac:dyDescent="0.35">
      <c r="A19" s="89"/>
      <c r="B19" s="217">
        <f>100*((((B18)*(AA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99.159816415528454</v>
      </c>
      <c r="C19" s="217">
        <f>100*((((C18)*(AB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-0.66781720848103243</v>
      </c>
      <c r="D19" s="217">
        <f>100*((((D18)*(AC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1.3956120611796345</v>
      </c>
      <c r="E19" s="217">
        <f>100*((((E18)*(AD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F19" s="217">
        <f>100*((((F18)*(AE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G19" s="217">
        <f>100*((((G18)*(AF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-4.720924886245567E-3</v>
      </c>
      <c r="H19" s="217">
        <f>100*((((H18)*(AG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4.879762451677044E-3</v>
      </c>
      <c r="I19" s="217">
        <f>100*((((I18)*(AH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9.7595249033540865E-4</v>
      </c>
      <c r="J19" s="217">
        <f>100*((((J18)*(AI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9.7595249033540865E-4</v>
      </c>
      <c r="K19" s="217">
        <f>100*((((K18)*(AJ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1.4639287355031135E-3</v>
      </c>
      <c r="L19" s="217">
        <f>100*((((L18)*(AK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M19" s="217">
        <f>100*((((M18)*(AL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-2.6879861411940972E-2</v>
      </c>
      <c r="N19" s="217">
        <f>100*((((N18)*(AM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-0.10048658075787908</v>
      </c>
      <c r="O19" s="217">
        <f>100*((((O18)*(AN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0.18543097316372764</v>
      </c>
      <c r="P19" s="217">
        <f>100*((((P18)*(AO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Q19" s="217">
        <f>100*((((Q18)*(AP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5.0749529497441256E-2</v>
      </c>
      <c r="R19" s="217">
        <f>100*((((R18)*(AQ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S19" s="217">
        <f>100*((((S18)*(AR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T19" s="217">
        <f>100*((((T18)*(AS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U19" s="217">
        <f>100*((((U18)*(AT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V19" s="217">
        <f>100*((((V18)*(AU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W19" s="217">
        <f>100*((((W18)*(AV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X19" s="219">
        <f>100*((((X18)*(AW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Y19" s="219">
        <f>100*((((Y18)*(AX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Z19" s="219">
        <f>100*((((Z18)*(AY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89"/>
    </row>
    <row r="20" spans="1:52" ht="21" x14ac:dyDescent="0.35">
      <c r="A20" s="89"/>
      <c r="B20" s="89"/>
      <c r="C20" s="89"/>
      <c r="D20" s="89"/>
      <c r="E20" s="89" t="e">
        <f>E19/'opt 7'!G6</f>
        <v>#DIV/0!</v>
      </c>
      <c r="F20" s="89" t="e">
        <f>F19/'opt 7'!G6</f>
        <v>#DIV/0!</v>
      </c>
      <c r="G20" s="89" t="e">
        <f>G19/'opt 7'!G6</f>
        <v>#DIV/0!</v>
      </c>
      <c r="H20" s="89" t="e">
        <f>H19/'opt 7'!G6</f>
        <v>#DIV/0!</v>
      </c>
      <c r="I20" s="89" t="e">
        <f>I19/'opt 7'!G6</f>
        <v>#DIV/0!</v>
      </c>
      <c r="J20" s="89"/>
      <c r="K20" s="89"/>
      <c r="L20" s="89" t="e">
        <f>L19/'opt 7'!G6</f>
        <v>#DIV/0!</v>
      </c>
      <c r="M20" s="89" t="e">
        <f>M19/'opt 7'!G6</f>
        <v>#DIV/0!</v>
      </c>
      <c r="N20" s="89" t="e">
        <f>N19/'opt 7'!G6</f>
        <v>#DIV/0!</v>
      </c>
      <c r="O20" s="89" t="e">
        <f>O19/'opt 7'!G6</f>
        <v>#DIV/0!</v>
      </c>
      <c r="P20" s="89" t="e">
        <f>P19/'opt 7'!G6</f>
        <v>#DIV/0!</v>
      </c>
      <c r="Q20" s="89" t="e">
        <f>Q19/'opt 7'!G6</f>
        <v>#DIV/0!</v>
      </c>
      <c r="R20" s="89" t="e">
        <f>R19/'opt 7'!G6</f>
        <v>#DIV/0!</v>
      </c>
      <c r="S20" s="89" t="e">
        <f>S19/'opt 7'!G6</f>
        <v>#DIV/0!</v>
      </c>
      <c r="T20" s="89" t="e">
        <f>T19/'opt 7'!G6</f>
        <v>#DIV/0!</v>
      </c>
      <c r="U20" s="89" t="e">
        <f>U19/'opt 7'!G6</f>
        <v>#DIV/0!</v>
      </c>
      <c r="V20" s="89" t="e">
        <f>V19/'opt 7'!G6</f>
        <v>#DIV/0!</v>
      </c>
      <c r="W20" s="89" t="e">
        <f>W19/'opt 7'!G6</f>
        <v>#DIV/0!</v>
      </c>
      <c r="X20" s="89" t="e">
        <f>X19/'opt 7'!G6</f>
        <v>#DIV/0!</v>
      </c>
      <c r="Y20" s="89" t="e">
        <f>Y19/'opt 7'!G6</f>
        <v>#DIV/0!</v>
      </c>
      <c r="Z20" s="89" t="e">
        <f>Z19/'opt 7'!G6</f>
        <v>#DIV/0!</v>
      </c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</row>
    <row r="21" spans="1:52" ht="21" x14ac:dyDescent="0.3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</row>
    <row r="22" spans="1:52" ht="21" x14ac:dyDescent="0.3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</row>
    <row r="23" spans="1:52" ht="21" x14ac:dyDescent="0.3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</row>
    <row r="24" spans="1:52" ht="21" x14ac:dyDescent="0.3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</row>
    <row r="25" spans="1:52" ht="21" x14ac:dyDescent="0.3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</row>
    <row r="26" spans="1:52" ht="21" x14ac:dyDescent="0.35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</row>
    <row r="27" spans="1:52" ht="21" x14ac:dyDescent="0.35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</row>
    <row r="28" spans="1:52" ht="21" x14ac:dyDescent="0.35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</row>
    <row r="29" spans="1:52" ht="21" x14ac:dyDescent="0.35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</row>
  </sheetData>
  <pageMargins left="0.7" right="0.7" top="0.75" bottom="0.75" header="0.3" footer="0.3"/>
  <pageSetup paperSize="9" orientation="portrait" verticalDpi="597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47BA-D15A-4C00-A249-8482D595273F}">
  <dimension ref="A1:AX4"/>
  <sheetViews>
    <sheetView zoomScale="89" zoomScaleNormal="89" workbookViewId="0">
      <selection activeCell="N17" sqref="N17"/>
    </sheetView>
  </sheetViews>
  <sheetFormatPr baseColWidth="10" defaultRowHeight="15" x14ac:dyDescent="0.25"/>
  <cols>
    <col min="2" max="2" width="14.42578125" customWidth="1"/>
    <col min="3" max="3" width="16.28515625" customWidth="1"/>
  </cols>
  <sheetData>
    <row r="1" spans="1:50" ht="18" x14ac:dyDescent="0.25">
      <c r="A1" s="210" t="s">
        <v>14</v>
      </c>
      <c r="B1" s="210" t="s">
        <v>15</v>
      </c>
      <c r="C1" s="210" t="s">
        <v>8</v>
      </c>
      <c r="D1" s="210" t="s">
        <v>9</v>
      </c>
      <c r="E1" s="210" t="s">
        <v>234</v>
      </c>
      <c r="F1" s="210" t="s">
        <v>56</v>
      </c>
      <c r="G1" s="210" t="s">
        <v>57</v>
      </c>
      <c r="H1" s="210" t="s">
        <v>58</v>
      </c>
      <c r="I1" s="210" t="s">
        <v>77</v>
      </c>
      <c r="J1" s="210" t="s">
        <v>204</v>
      </c>
      <c r="K1" s="210" t="s">
        <v>16</v>
      </c>
      <c r="L1" s="210" t="s">
        <v>12</v>
      </c>
      <c r="M1" s="210" t="s">
        <v>44</v>
      </c>
      <c r="N1" s="210" t="s">
        <v>55</v>
      </c>
      <c r="O1" s="210" t="s">
        <v>17</v>
      </c>
      <c r="P1" s="210" t="s">
        <v>80</v>
      </c>
      <c r="Q1" s="210" t="s">
        <v>81</v>
      </c>
      <c r="R1" s="210" t="s">
        <v>82</v>
      </c>
      <c r="S1" s="210" t="s">
        <v>83</v>
      </c>
      <c r="T1" s="210" t="s">
        <v>45</v>
      </c>
      <c r="U1" s="210" t="s">
        <v>43</v>
      </c>
      <c r="V1" s="210" t="s">
        <v>13</v>
      </c>
      <c r="W1" s="210" t="s">
        <v>0</v>
      </c>
      <c r="X1" s="210" t="s">
        <v>11</v>
      </c>
      <c r="Y1" s="210" t="s">
        <v>10</v>
      </c>
      <c r="Z1" s="210" t="s">
        <v>14</v>
      </c>
      <c r="AA1" s="210" t="s">
        <v>15</v>
      </c>
      <c r="AB1" s="210" t="s">
        <v>8</v>
      </c>
      <c r="AC1" s="210" t="s">
        <v>9</v>
      </c>
      <c r="AD1" s="210" t="s">
        <v>234</v>
      </c>
      <c r="AE1" s="210" t="s">
        <v>56</v>
      </c>
      <c r="AF1" s="210" t="s">
        <v>57</v>
      </c>
      <c r="AG1" s="210" t="s">
        <v>58</v>
      </c>
      <c r="AH1" s="210" t="s">
        <v>77</v>
      </c>
      <c r="AI1" s="210" t="s">
        <v>204</v>
      </c>
      <c r="AJ1" s="210" t="s">
        <v>16</v>
      </c>
      <c r="AK1" s="210" t="s">
        <v>12</v>
      </c>
      <c r="AL1" s="210" t="s">
        <v>44</v>
      </c>
      <c r="AM1" s="210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13</v>
      </c>
      <c r="AV1" s="210" t="s">
        <v>0</v>
      </c>
      <c r="AW1" s="210" t="s">
        <v>11</v>
      </c>
      <c r="AX1" s="210" t="s">
        <v>10</v>
      </c>
    </row>
    <row r="2" spans="1:50" ht="23.25" x14ac:dyDescent="0.35">
      <c r="A2" s="36">
        <f>100-B2-C2-D2-E2-F2-G2-H2-I2-J2-K2-L2-M2-N2-O2-P2-Q2-R2-S2-T2-U2-V2-W2-X2-Y2</f>
        <v>100</v>
      </c>
      <c r="B2" s="71">
        <f>'1.0330_3'!C10</f>
        <v>0</v>
      </c>
      <c r="C2" s="71">
        <f>'1.0330_3'!D10</f>
        <v>0</v>
      </c>
      <c r="D2" s="71">
        <f>'1.0330_3'!E10</f>
        <v>0</v>
      </c>
      <c r="E2" s="71">
        <f>'1.0330_3'!F10</f>
        <v>0</v>
      </c>
      <c r="F2" s="71">
        <f>'1.0330_3'!G10</f>
        <v>0</v>
      </c>
      <c r="G2" s="71">
        <f>'1.0330_3'!H10</f>
        <v>0</v>
      </c>
      <c r="H2" s="71">
        <f>'1.0330_3'!I10</f>
        <v>0</v>
      </c>
      <c r="I2" s="71">
        <f>'1.0330_3'!J10</f>
        <v>0</v>
      </c>
      <c r="J2" s="71">
        <f>'1.0330_3'!K10</f>
        <v>0</v>
      </c>
      <c r="K2" s="71">
        <f>'1.0330_3'!L10</f>
        <v>0</v>
      </c>
      <c r="L2" s="71">
        <f>'1.0330_3'!M10</f>
        <v>0</v>
      </c>
      <c r="M2" s="71">
        <f>'1.0330_3'!N10</f>
        <v>0</v>
      </c>
      <c r="N2" s="71">
        <f>'1.0330_3'!O10</f>
        <v>0</v>
      </c>
      <c r="O2" s="71">
        <f>'1.0330_3'!P10</f>
        <v>0</v>
      </c>
      <c r="P2" s="71">
        <f>'1.0330_3'!Q10</f>
        <v>0</v>
      </c>
      <c r="Q2" s="71">
        <f>'1.0330_3'!R10</f>
        <v>0</v>
      </c>
      <c r="R2" s="71">
        <f>'1.0330_3'!S10</f>
        <v>0</v>
      </c>
      <c r="S2" s="71">
        <f>'1.0330_3'!T10</f>
        <v>0</v>
      </c>
      <c r="T2" s="71">
        <f>'1.0330_3'!U10</f>
        <v>0</v>
      </c>
      <c r="U2" s="71">
        <f>'1.0330_3'!V10</f>
        <v>0</v>
      </c>
      <c r="V2" s="71">
        <f>'1.0330_3'!W10</f>
        <v>0</v>
      </c>
      <c r="W2" s="71">
        <f>'1.0330_3'!X10</f>
        <v>0</v>
      </c>
      <c r="X2" s="71">
        <f>'1.0330_3'!Y10</f>
        <v>0</v>
      </c>
      <c r="Y2" s="71">
        <f>'1.0330_3'!Z10</f>
        <v>0</v>
      </c>
      <c r="Z2" s="68">
        <v>55.84</v>
      </c>
      <c r="AA2" s="7">
        <v>28.0855</v>
      </c>
      <c r="AB2" s="7">
        <v>58.693399999999997</v>
      </c>
      <c r="AC2" s="7">
        <v>63.545999999999999</v>
      </c>
      <c r="AD2" s="7">
        <v>65.38</v>
      </c>
      <c r="AE2" s="7">
        <v>12.01</v>
      </c>
      <c r="AF2" s="7">
        <v>30.973762000000001</v>
      </c>
      <c r="AG2" s="7">
        <v>32.064999999999998</v>
      </c>
      <c r="AH2" s="7">
        <v>14.0067</v>
      </c>
      <c r="AI2" s="7">
        <v>10.81</v>
      </c>
      <c r="AJ2" s="7">
        <v>54.938043999999998</v>
      </c>
      <c r="AK2" s="7">
        <v>26.981539999999999</v>
      </c>
      <c r="AL2" s="7">
        <v>51.996099999999998</v>
      </c>
      <c r="AM2" s="7">
        <v>95.95</v>
      </c>
      <c r="AN2">
        <v>47.866999999999997</v>
      </c>
      <c r="AO2">
        <v>50.941499999999998</v>
      </c>
      <c r="AP2">
        <v>92.906369999999995</v>
      </c>
      <c r="AQ2">
        <v>183.84</v>
      </c>
      <c r="AR2">
        <v>180.94788</v>
      </c>
      <c r="AS2">
        <v>91.224000000000004</v>
      </c>
      <c r="AT2">
        <v>58.933194999999998</v>
      </c>
      <c r="AU2">
        <v>24.305</v>
      </c>
      <c r="AV2" s="7">
        <v>121.76</v>
      </c>
      <c r="AW2" s="7">
        <v>207.2</v>
      </c>
      <c r="AX2" s="7">
        <v>118.71</v>
      </c>
    </row>
    <row r="3" spans="1:50" ht="18.75" x14ac:dyDescent="0.3">
      <c r="A3" s="36">
        <f>100*((((A2)*(Z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100</v>
      </c>
      <c r="B3" s="36">
        <f>100*((((B2)*(AA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C3" s="36">
        <f>100*((((C2)*(AB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D3" s="36">
        <f>100*((((D2)*(AC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E3" s="36">
        <f>100*((((E2)*(AD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F3" s="36">
        <f>100*((((F2)*(AE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G3" s="36">
        <f>100*((((G2)*(AF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H3" s="36">
        <f>100*((((H2)*(AG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I3" s="36">
        <f>100*((((I2)*(AH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J3" s="36">
        <f>100*((((J2)*(AI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K3" s="36">
        <f>100*((((K2)*(AJ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L3" s="36">
        <f>100*((((L2)*(AK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M3" s="36">
        <f>100*((((M2)*(AL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N3" s="36">
        <f>100*((((N2)*(AM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W2))+((X2)/(AW2))+((Y2)/(AX2)))))</f>
        <v>0</v>
      </c>
      <c r="P3" s="36">
        <f>100*((((P2)*(AO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Q3" s="36">
        <f>100*((((Q2)*(AP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R3" s="36">
        <f>100*((((R2)*(AQ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S3" s="36">
        <f>100*((((S2)*(AR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T3" s="36">
        <f>100*((((T2)*(AS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U3" s="36">
        <f>100*((((U2)*(AT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V3" s="36">
        <f>100*((((V2)*(AU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W3" s="7">
        <f>100*((((W2)*(AV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X3" s="7">
        <f>100*((((X2)*(AW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Y3" s="7">
        <f>100*((((Y2)*(AX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Z3" s="68">
        <v>55.84</v>
      </c>
      <c r="AA3" s="7">
        <v>95.94</v>
      </c>
      <c r="AB3" s="7">
        <v>183.85</v>
      </c>
      <c r="AC3" s="7">
        <v>58.933199999999999</v>
      </c>
      <c r="AD3" s="7">
        <v>63.54</v>
      </c>
      <c r="AE3" s="7">
        <v>12.01</v>
      </c>
      <c r="AF3" s="7">
        <v>28.085000000000001</v>
      </c>
      <c r="AG3" s="7">
        <v>47.88</v>
      </c>
      <c r="AH3" s="7">
        <v>58.692999999999998</v>
      </c>
      <c r="AI3" s="7">
        <v>51.99</v>
      </c>
      <c r="AJ3" s="7">
        <v>54.93</v>
      </c>
      <c r="AK3" s="7">
        <v>92.9</v>
      </c>
      <c r="AL3" s="7">
        <v>14.0067</v>
      </c>
      <c r="AM3" s="7">
        <v>26.981539999999999</v>
      </c>
    </row>
    <row r="4" spans="1:50" ht="15.75" x14ac:dyDescent="0.25">
      <c r="A4" s="8"/>
      <c r="B4" s="9"/>
    </row>
  </sheetData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28AB-38EC-44E7-AE5F-48A9E3A6D214}">
  <dimension ref="A1:BB27"/>
  <sheetViews>
    <sheetView zoomScale="86" zoomScaleNormal="86" workbookViewId="0">
      <selection activeCell="C5" sqref="C5:R7"/>
    </sheetView>
  </sheetViews>
  <sheetFormatPr baseColWidth="10" defaultColWidth="8.7109375" defaultRowHeight="15" x14ac:dyDescent="0.25"/>
  <cols>
    <col min="1" max="1" width="24.42578125" customWidth="1"/>
    <col min="2" max="2" width="14.42578125" customWidth="1"/>
    <col min="3" max="3" width="13.5703125" customWidth="1"/>
    <col min="4" max="5" width="10.85546875" customWidth="1"/>
    <col min="6" max="6" width="9.85546875" customWidth="1"/>
    <col min="7" max="7" width="7.5703125" customWidth="1"/>
    <col min="8" max="8" width="9.5703125" customWidth="1"/>
    <col min="9" max="9" width="10.7109375" customWidth="1"/>
    <col min="10" max="11" width="12.7109375" customWidth="1"/>
    <col min="12" max="12" width="8.85546875" customWidth="1"/>
    <col min="13" max="13" width="8.7109375" customWidth="1"/>
    <col min="14" max="14" width="8.28515625" customWidth="1"/>
    <col min="15" max="15" width="9.28515625" customWidth="1"/>
    <col min="16" max="25" width="12.7109375" bestFit="1" customWidth="1"/>
    <col min="26" max="26" width="11.5703125" bestFit="1" customWidth="1"/>
  </cols>
  <sheetData>
    <row r="1" spans="1:54" ht="21" x14ac:dyDescent="0.35">
      <c r="A1" s="89" t="s">
        <v>34</v>
      </c>
      <c r="B1" s="89"/>
      <c r="C1" s="89" t="e">
        <f>C5-C2</f>
        <v>#DIV/0!</v>
      </c>
      <c r="D1" s="89" t="e">
        <f>D4-D2</f>
        <v>#DIV/0!</v>
      </c>
      <c r="E1" s="89">
        <f>E2-E5</f>
        <v>0</v>
      </c>
      <c r="F1" s="89" t="e">
        <f>F4-F2</f>
        <v>#DIV/0!</v>
      </c>
      <c r="G1" s="89" t="e">
        <f t="shared" ref="G1:O1" si="0">G4-G2</f>
        <v>#DIV/0!</v>
      </c>
      <c r="H1" s="89" t="e">
        <f t="shared" si="0"/>
        <v>#DIV/0!</v>
      </c>
      <c r="I1" s="89" t="e">
        <f>I4-I2</f>
        <v>#DIV/0!</v>
      </c>
      <c r="J1" s="89">
        <f>J5-J2</f>
        <v>0</v>
      </c>
      <c r="K1" s="89">
        <f>K5-K2</f>
        <v>0</v>
      </c>
      <c r="L1" s="89" t="e">
        <f t="shared" si="0"/>
        <v>#DIV/0!</v>
      </c>
      <c r="M1" s="89" t="e">
        <f t="shared" si="0"/>
        <v>#DIV/0!</v>
      </c>
      <c r="N1" s="89" t="e">
        <f t="shared" si="0"/>
        <v>#DIV/0!</v>
      </c>
      <c r="O1" s="89" t="e">
        <f t="shared" si="0"/>
        <v>#DIV/0!</v>
      </c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</row>
    <row r="2" spans="1:54" ht="21" x14ac:dyDescent="0.35">
      <c r="A2" s="89" t="s">
        <v>37</v>
      </c>
      <c r="B2" s="138">
        <f>100-C2-D2-E2-F2-G2-H2-I2-J2-K2-L2-M2-N2-O2</f>
        <v>100</v>
      </c>
      <c r="C2" s="89">
        <f>'1.0330_3'!C11</f>
        <v>0</v>
      </c>
      <c r="D2" s="89">
        <f>'1.0330_3'!D11</f>
        <v>0</v>
      </c>
      <c r="E2" s="89">
        <f>'1.0330_3'!E11</f>
        <v>0</v>
      </c>
      <c r="F2" s="89">
        <f>'1.0330_3'!F11</f>
        <v>0</v>
      </c>
      <c r="G2" s="89">
        <f>'1.0330_3'!G11</f>
        <v>0</v>
      </c>
      <c r="H2" s="89">
        <f>'1.0330_3'!H11</f>
        <v>0</v>
      </c>
      <c r="I2" s="89">
        <f>'1.0330_3'!I11</f>
        <v>0</v>
      </c>
      <c r="J2" s="89">
        <f>'1.0330_3'!J11</f>
        <v>0</v>
      </c>
      <c r="K2" s="89">
        <f>'1.0330_3'!K11</f>
        <v>0</v>
      </c>
      <c r="L2" s="89">
        <f>'1.0330_3'!L11</f>
        <v>0</v>
      </c>
      <c r="M2" s="89">
        <f>'1.0330_3'!M11</f>
        <v>0</v>
      </c>
      <c r="N2" s="89">
        <f>'1.0330_3'!N11</f>
        <v>0</v>
      </c>
      <c r="O2" s="89">
        <f>'1.0330_3'!O11</f>
        <v>0</v>
      </c>
      <c r="P2" s="89">
        <f>'1.0330_3'!P11</f>
        <v>0</v>
      </c>
      <c r="Q2" s="89">
        <f>'1.0330_3'!Q11</f>
        <v>0</v>
      </c>
      <c r="R2" s="89">
        <f>'1.0330_3'!R11</f>
        <v>0</v>
      </c>
      <c r="S2" s="89">
        <f>'1.0330_3'!S11</f>
        <v>0</v>
      </c>
      <c r="T2" s="89">
        <f>'1.0330_3'!T11</f>
        <v>0</v>
      </c>
      <c r="U2" s="89">
        <f>'1.0330_3'!U11</f>
        <v>0</v>
      </c>
      <c r="V2" s="89">
        <f>'1.0330_3'!V11</f>
        <v>0</v>
      </c>
      <c r="W2" s="89">
        <f>'1.0330_3'!W11</f>
        <v>0</v>
      </c>
      <c r="X2" s="89">
        <f>'1.0330_3'!X11</f>
        <v>0</v>
      </c>
      <c r="Y2" s="89">
        <f>'1.0330_3'!Y11</f>
        <v>0</v>
      </c>
      <c r="Z2" s="89">
        <f>'1.0330_3'!Z11</f>
        <v>0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</row>
    <row r="3" spans="1:54" ht="21" x14ac:dyDescent="0.35">
      <c r="A3" s="89"/>
      <c r="B3" s="210" t="s">
        <v>14</v>
      </c>
      <c r="C3" s="210" t="s">
        <v>15</v>
      </c>
      <c r="D3" s="210" t="s">
        <v>8</v>
      </c>
      <c r="E3" s="210" t="s">
        <v>9</v>
      </c>
      <c r="F3" s="210" t="s">
        <v>234</v>
      </c>
      <c r="G3" s="210" t="s">
        <v>56</v>
      </c>
      <c r="H3" s="210" t="s">
        <v>57</v>
      </c>
      <c r="I3" s="210" t="s">
        <v>58</v>
      </c>
      <c r="J3" s="210" t="s">
        <v>77</v>
      </c>
      <c r="K3" s="210" t="s">
        <v>204</v>
      </c>
      <c r="L3" s="210" t="s">
        <v>16</v>
      </c>
      <c r="M3" s="210" t="s">
        <v>12</v>
      </c>
      <c r="N3" s="210" t="s">
        <v>44</v>
      </c>
      <c r="O3" s="210" t="s">
        <v>55</v>
      </c>
      <c r="P3" s="210" t="s">
        <v>17</v>
      </c>
      <c r="Q3" s="210" t="s">
        <v>80</v>
      </c>
      <c r="R3" s="210" t="s">
        <v>81</v>
      </c>
      <c r="S3" s="210" t="s">
        <v>82</v>
      </c>
      <c r="T3" s="210" t="s">
        <v>83</v>
      </c>
      <c r="U3" s="210" t="s">
        <v>45</v>
      </c>
      <c r="V3" s="210" t="s">
        <v>43</v>
      </c>
      <c r="W3" s="210" t="s">
        <v>13</v>
      </c>
      <c r="X3" s="210" t="s">
        <v>0</v>
      </c>
      <c r="Y3" s="210" t="s">
        <v>11</v>
      </c>
      <c r="Z3" s="210" t="s">
        <v>10</v>
      </c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</row>
    <row r="4" spans="1:54" ht="21" x14ac:dyDescent="0.35">
      <c r="A4" s="89" t="s">
        <v>35</v>
      </c>
      <c r="B4" s="89" t="e">
        <f>100-C4-D4-E4-F4-G4-H4-I4-J4-K4-L4-M4-N4-O4-P4-Q4-R4-S4-T4-U4-V4-W4-X4-Y4-Z4</f>
        <v>#DIV/0!</v>
      </c>
      <c r="C4" s="89" t="e">
        <f>'opt 8'!C56</f>
        <v>#DIV/0!</v>
      </c>
      <c r="D4" s="89" t="e">
        <f>'opt 8'!D56</f>
        <v>#DIV/0!</v>
      </c>
      <c r="E4" s="89" t="e">
        <f>'opt 8'!E56</f>
        <v>#DIV/0!</v>
      </c>
      <c r="F4" s="89" t="e">
        <f>'opt 8'!F56</f>
        <v>#DIV/0!</v>
      </c>
      <c r="G4" s="89" t="e">
        <f>'opt 8'!G56</f>
        <v>#DIV/0!</v>
      </c>
      <c r="H4" s="89" t="e">
        <f>'opt 8'!H56</f>
        <v>#DIV/0!</v>
      </c>
      <c r="I4" s="89" t="e">
        <f>'opt 8'!I56</f>
        <v>#DIV/0!</v>
      </c>
      <c r="J4" s="89" t="e">
        <f>'opt 8'!J56</f>
        <v>#DIV/0!</v>
      </c>
      <c r="K4" s="89" t="e">
        <f>'opt 8'!K56</f>
        <v>#DIV/0!</v>
      </c>
      <c r="L4" s="89" t="e">
        <f>'opt 8'!L56</f>
        <v>#DIV/0!</v>
      </c>
      <c r="M4" s="89" t="e">
        <f>'opt 8'!M56</f>
        <v>#DIV/0!</v>
      </c>
      <c r="N4" s="89" t="e">
        <f>'opt 8'!N56</f>
        <v>#DIV/0!</v>
      </c>
      <c r="O4" s="89" t="e">
        <f>'opt 8'!O56</f>
        <v>#DIV/0!</v>
      </c>
      <c r="P4" s="89" t="e">
        <f>'opt 8'!P56</f>
        <v>#DIV/0!</v>
      </c>
      <c r="Q4" s="89" t="e">
        <f>'opt 8'!Q56</f>
        <v>#DIV/0!</v>
      </c>
      <c r="R4" s="89" t="e">
        <f>'opt 8'!R56</f>
        <v>#DIV/0!</v>
      </c>
      <c r="S4" s="89" t="e">
        <f>'opt 8'!S56</f>
        <v>#DIV/0!</v>
      </c>
      <c r="T4" s="89" t="e">
        <f>'opt 8'!T56</f>
        <v>#DIV/0!</v>
      </c>
      <c r="U4" s="89" t="e">
        <f>'opt 8'!U56</f>
        <v>#DIV/0!</v>
      </c>
      <c r="V4" s="89" t="e">
        <f>'opt 8'!V56</f>
        <v>#DIV/0!</v>
      </c>
      <c r="W4" s="89" t="e">
        <f>'opt 8'!W56</f>
        <v>#DIV/0!</v>
      </c>
      <c r="X4" s="89" t="e">
        <f>'opt 8'!X56</f>
        <v>#DIV/0!</v>
      </c>
      <c r="Y4" s="89" t="e">
        <f>'opt 8'!Y56</f>
        <v>#DIV/0!</v>
      </c>
      <c r="Z4" s="89" t="e">
        <f>'opt 8'!Z56</f>
        <v>#DIV/0!</v>
      </c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</row>
    <row r="5" spans="1:54" ht="21" x14ac:dyDescent="0.35">
      <c r="A5" s="89" t="s">
        <v>36</v>
      </c>
      <c r="B5" s="89" t="e">
        <f>100-C5-D5-E5-F5-G5-H5-I5-J5-K5-L5-M5-N5-O5</f>
        <v>#DIV/0!</v>
      </c>
      <c r="C5" s="149" t="e">
        <f>C4</f>
        <v>#DIV/0!</v>
      </c>
      <c r="D5" s="158"/>
      <c r="E5" s="159"/>
      <c r="F5" s="159"/>
      <c r="G5" s="159" t="e">
        <f>G4+D4+E4+F4+H4+I4+J4+K4+M4+V4</f>
        <v>#DIV/0!</v>
      </c>
      <c r="H5" s="159"/>
      <c r="I5" s="159"/>
      <c r="J5" s="149"/>
      <c r="K5" s="149"/>
      <c r="L5" s="7" t="e">
        <f>L4</f>
        <v>#DIV/0!</v>
      </c>
      <c r="M5" s="7"/>
      <c r="N5" s="7" t="e">
        <f>N4+P4+Q4+R4+S4+T4+U4+W4+X4+Y4+Z4</f>
        <v>#DIV/0!</v>
      </c>
      <c r="O5" s="7" t="e">
        <f>O4</f>
        <v>#DIV/0!</v>
      </c>
      <c r="P5" s="7"/>
      <c r="Q5" s="7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</row>
    <row r="6" spans="1:54" ht="21" x14ac:dyDescent="0.35">
      <c r="A6" s="89"/>
      <c r="B6" s="8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</row>
    <row r="7" spans="1:54" ht="21" x14ac:dyDescent="0.35">
      <c r="A7" s="89" t="s">
        <v>92</v>
      </c>
      <c r="B7" s="139" t="e">
        <f>100-C7-D7-E7-F7-G7-H7-I7-J7-K7-L7-M7-N7-O7-P7-Q7-R7-S7-T7-U7-V7-W7-X7-Y7-Z7</f>
        <v>#DIV/0!</v>
      </c>
      <c r="C7" s="156">
        <f>C2</f>
        <v>0</v>
      </c>
      <c r="D7" s="156"/>
      <c r="E7" s="156"/>
      <c r="F7" s="156"/>
      <c r="G7" s="156" t="e">
        <f>G2-D4-E4-F4-H4-I4-J4-K4-M4-V4</f>
        <v>#DIV/0!</v>
      </c>
      <c r="H7" s="156"/>
      <c r="I7" s="156"/>
      <c r="J7" s="156"/>
      <c r="K7" s="156"/>
      <c r="L7" s="156">
        <f>L2</f>
        <v>0</v>
      </c>
      <c r="M7" s="156">
        <f>M2</f>
        <v>0</v>
      </c>
      <c r="N7" s="156" t="e">
        <f>N2-P4-Q4-R4-S4-T4-U4-W4-X4-Y4-Z4</f>
        <v>#DIV/0!</v>
      </c>
      <c r="O7" s="156"/>
      <c r="P7" s="156"/>
      <c r="Q7" s="156"/>
      <c r="R7" s="177"/>
      <c r="S7" s="177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</row>
    <row r="8" spans="1:54" ht="21" x14ac:dyDescent="0.35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</row>
    <row r="9" spans="1:54" ht="21" x14ac:dyDescent="0.35">
      <c r="A9" s="89"/>
      <c r="B9" s="89"/>
      <c r="C9" s="89"/>
      <c r="D9" s="89"/>
      <c r="E9" s="89"/>
      <c r="F9" s="89" t="s">
        <v>7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</row>
    <row r="10" spans="1:54" ht="21" x14ac:dyDescent="0.35">
      <c r="A10" s="89" t="s">
        <v>32</v>
      </c>
      <c r="B10" s="180"/>
      <c r="C10" s="180"/>
      <c r="D10" s="89"/>
      <c r="E10" s="180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</row>
    <row r="11" spans="1:54" ht="21" x14ac:dyDescent="0.35">
      <c r="A11" s="89" t="s">
        <v>33</v>
      </c>
      <c r="B11" s="181"/>
      <c r="C11" s="181"/>
      <c r="D11" s="89"/>
      <c r="E11" s="181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</row>
    <row r="12" spans="1:54" ht="21" x14ac:dyDescent="0.35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</row>
    <row r="13" spans="1:54" ht="21" x14ac:dyDescent="0.35">
      <c r="A13" s="89"/>
      <c r="B13" s="89" t="s">
        <v>14</v>
      </c>
      <c r="C13" s="180" t="s">
        <v>56</v>
      </c>
      <c r="D13" s="180" t="s">
        <v>15</v>
      </c>
      <c r="E13" s="181" t="s">
        <v>8</v>
      </c>
      <c r="F13" s="180" t="s">
        <v>9</v>
      </c>
      <c r="G13" s="180" t="s">
        <v>57</v>
      </c>
      <c r="H13" s="181" t="s">
        <v>58</v>
      </c>
      <c r="I13" s="180" t="s">
        <v>77</v>
      </c>
      <c r="J13" s="181" t="s">
        <v>13</v>
      </c>
      <c r="K13" s="180" t="s">
        <v>16</v>
      </c>
      <c r="L13" s="180" t="s">
        <v>55</v>
      </c>
      <c r="M13" s="181" t="s">
        <v>44</v>
      </c>
      <c r="N13" s="181" t="s">
        <v>10</v>
      </c>
      <c r="O13" s="180" t="s">
        <v>12</v>
      </c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</row>
    <row r="14" spans="1:54" ht="21" x14ac:dyDescent="0.35">
      <c r="A14" s="89" t="s">
        <v>39</v>
      </c>
      <c r="B14" s="89" t="e">
        <f>100-(C14+D14+E14+F14+G14+H14+I14+J14+K14+L14+M14+N14+O14)</f>
        <v>#DIV/0!</v>
      </c>
      <c r="C14" s="89" t="e">
        <f>C5-C1</f>
        <v>#DIV/0!</v>
      </c>
      <c r="D14" s="89" t="e">
        <f>D5-D1</f>
        <v>#DIV/0!</v>
      </c>
      <c r="E14" s="89">
        <f t="shared" ref="E14:I14" si="1">E5</f>
        <v>0</v>
      </c>
      <c r="F14" s="89">
        <f t="shared" si="1"/>
        <v>0</v>
      </c>
      <c r="G14" s="89" t="e">
        <f t="shared" si="1"/>
        <v>#DIV/0!</v>
      </c>
      <c r="H14" s="89">
        <f t="shared" si="1"/>
        <v>0</v>
      </c>
      <c r="I14" s="89">
        <f t="shared" si="1"/>
        <v>0</v>
      </c>
      <c r="J14" s="89">
        <f>J5-J1</f>
        <v>0</v>
      </c>
      <c r="K14" s="89">
        <f>K5-K1</f>
        <v>0</v>
      </c>
      <c r="L14" s="89" t="e">
        <f t="shared" ref="L14:O14" si="2">L5</f>
        <v>#DIV/0!</v>
      </c>
      <c r="M14" s="89">
        <f t="shared" si="2"/>
        <v>0</v>
      </c>
      <c r="N14" s="89" t="e">
        <f t="shared" si="2"/>
        <v>#DIV/0!</v>
      </c>
      <c r="O14" s="89" t="e">
        <f t="shared" si="2"/>
        <v>#DIV/0!</v>
      </c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</row>
    <row r="15" spans="1:54" ht="21" x14ac:dyDescent="0.3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</row>
    <row r="16" spans="1:54" ht="21" x14ac:dyDescent="0.3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</row>
    <row r="17" spans="1:54" ht="21" x14ac:dyDescent="0.35">
      <c r="A17" s="89"/>
      <c r="B17" s="210" t="s">
        <v>14</v>
      </c>
      <c r="C17" s="210" t="s">
        <v>15</v>
      </c>
      <c r="D17" s="210" t="s">
        <v>8</v>
      </c>
      <c r="E17" s="210" t="s">
        <v>9</v>
      </c>
      <c r="F17" s="210" t="s">
        <v>234</v>
      </c>
      <c r="G17" s="210" t="s">
        <v>56</v>
      </c>
      <c r="H17" s="210" t="s">
        <v>57</v>
      </c>
      <c r="I17" s="210" t="s">
        <v>58</v>
      </c>
      <c r="J17" s="210" t="s">
        <v>77</v>
      </c>
      <c r="K17" s="210" t="s">
        <v>204</v>
      </c>
      <c r="L17" s="210" t="s">
        <v>16</v>
      </c>
      <c r="M17" s="210" t="s">
        <v>12</v>
      </c>
      <c r="N17" s="210" t="s">
        <v>44</v>
      </c>
      <c r="O17" s="210" t="s">
        <v>55</v>
      </c>
      <c r="P17" s="210" t="s">
        <v>17</v>
      </c>
      <c r="Q17" s="210" t="s">
        <v>80</v>
      </c>
      <c r="R17" s="210" t="s">
        <v>81</v>
      </c>
      <c r="S17" s="210" t="s">
        <v>82</v>
      </c>
      <c r="T17" s="210" t="s">
        <v>83</v>
      </c>
      <c r="U17" s="210" t="s">
        <v>45</v>
      </c>
      <c r="V17" s="210" t="s">
        <v>43</v>
      </c>
      <c r="W17" s="210" t="s">
        <v>13</v>
      </c>
      <c r="X17" s="210" t="s">
        <v>0</v>
      </c>
      <c r="Y17" s="210" t="s">
        <v>11</v>
      </c>
      <c r="Z17" s="210" t="s">
        <v>10</v>
      </c>
      <c r="AA17" s="211" t="s">
        <v>14</v>
      </c>
      <c r="AB17" s="212" t="s">
        <v>15</v>
      </c>
      <c r="AC17" s="213" t="s">
        <v>8</v>
      </c>
      <c r="AD17" s="214" t="s">
        <v>9</v>
      </c>
      <c r="AE17" s="213" t="s">
        <v>234</v>
      </c>
      <c r="AF17" s="213" t="s">
        <v>56</v>
      </c>
      <c r="AG17" s="214" t="s">
        <v>57</v>
      </c>
      <c r="AH17" s="213" t="s">
        <v>58</v>
      </c>
      <c r="AI17" s="215" t="s">
        <v>77</v>
      </c>
      <c r="AJ17" s="216" t="s">
        <v>204</v>
      </c>
      <c r="AK17" s="216" t="s">
        <v>16</v>
      </c>
      <c r="AL17" s="215" t="s">
        <v>12</v>
      </c>
      <c r="AM17" s="215" t="s">
        <v>44</v>
      </c>
      <c r="AN17" s="216" t="s">
        <v>55</v>
      </c>
      <c r="AO17" s="210" t="s">
        <v>17</v>
      </c>
      <c r="AP17" s="210" t="s">
        <v>80</v>
      </c>
      <c r="AQ17" s="210" t="s">
        <v>81</v>
      </c>
      <c r="AR17" s="210" t="s">
        <v>82</v>
      </c>
      <c r="AS17" s="210" t="s">
        <v>83</v>
      </c>
      <c r="AT17" s="210" t="s">
        <v>45</v>
      </c>
      <c r="AU17" s="210" t="s">
        <v>43</v>
      </c>
      <c r="AV17" s="210" t="s">
        <v>13</v>
      </c>
      <c r="AW17" s="210" t="s">
        <v>0</v>
      </c>
      <c r="AX17" s="210" t="s">
        <v>11</v>
      </c>
      <c r="AY17" s="210" t="s">
        <v>10</v>
      </c>
      <c r="AZ17" s="89"/>
      <c r="BA17" s="89"/>
      <c r="BB17" s="89"/>
    </row>
    <row r="18" spans="1:54" ht="21" x14ac:dyDescent="0.35">
      <c r="A18" s="89"/>
      <c r="B18" s="217" t="e">
        <f>100-C18-D18-E18-F18-G18-H18-I18-J18-K18-L18-M18-N18-O18-P18-Q18-R18-S18-T18-U18-V18-W18-X18-Y18-Z18</f>
        <v>#DIV/0!</v>
      </c>
      <c r="C18" s="218">
        <f>C7</f>
        <v>0</v>
      </c>
      <c r="D18" s="218" t="e">
        <f t="shared" ref="D18:Z18" si="3">D4</f>
        <v>#DIV/0!</v>
      </c>
      <c r="E18" s="218" t="e">
        <f t="shared" si="3"/>
        <v>#DIV/0!</v>
      </c>
      <c r="F18" s="218" t="e">
        <f t="shared" si="3"/>
        <v>#DIV/0!</v>
      </c>
      <c r="G18" s="218" t="e">
        <f>G7</f>
        <v>#DIV/0!</v>
      </c>
      <c r="H18" s="218" t="e">
        <f t="shared" si="3"/>
        <v>#DIV/0!</v>
      </c>
      <c r="I18" s="218" t="e">
        <f t="shared" si="3"/>
        <v>#DIV/0!</v>
      </c>
      <c r="J18" s="218" t="e">
        <f t="shared" si="3"/>
        <v>#DIV/0!</v>
      </c>
      <c r="K18" s="218" t="e">
        <f t="shared" si="3"/>
        <v>#DIV/0!</v>
      </c>
      <c r="L18" s="218">
        <f>L7</f>
        <v>0</v>
      </c>
      <c r="M18" s="218">
        <f>M7</f>
        <v>0</v>
      </c>
      <c r="N18" s="218" t="e">
        <f>N7</f>
        <v>#DIV/0!</v>
      </c>
      <c r="O18" s="218" t="e">
        <f t="shared" si="3"/>
        <v>#DIV/0!</v>
      </c>
      <c r="P18" s="218" t="e">
        <f t="shared" si="3"/>
        <v>#DIV/0!</v>
      </c>
      <c r="Q18" s="218" t="e">
        <f t="shared" si="3"/>
        <v>#DIV/0!</v>
      </c>
      <c r="R18" s="218" t="e">
        <f t="shared" si="3"/>
        <v>#DIV/0!</v>
      </c>
      <c r="S18" s="218" t="e">
        <f t="shared" si="3"/>
        <v>#DIV/0!</v>
      </c>
      <c r="T18" s="218" t="e">
        <f t="shared" si="3"/>
        <v>#DIV/0!</v>
      </c>
      <c r="U18" s="218" t="e">
        <f t="shared" si="3"/>
        <v>#DIV/0!</v>
      </c>
      <c r="V18" s="218" t="e">
        <f t="shared" si="3"/>
        <v>#DIV/0!</v>
      </c>
      <c r="W18" s="218" t="e">
        <f t="shared" si="3"/>
        <v>#DIV/0!</v>
      </c>
      <c r="X18" s="218" t="e">
        <f t="shared" si="3"/>
        <v>#DIV/0!</v>
      </c>
      <c r="Y18" s="218" t="e">
        <f t="shared" si="3"/>
        <v>#DIV/0!</v>
      </c>
      <c r="Z18" s="218" t="e">
        <f t="shared" si="3"/>
        <v>#DIV/0!</v>
      </c>
      <c r="AA18" s="219">
        <v>55.84</v>
      </c>
      <c r="AB18" s="219">
        <v>28.0855</v>
      </c>
      <c r="AC18" s="219">
        <v>58.693399999999997</v>
      </c>
      <c r="AD18" s="219">
        <v>63.545999999999999</v>
      </c>
      <c r="AE18" s="219">
        <v>65.38</v>
      </c>
      <c r="AF18" s="219">
        <v>12.01</v>
      </c>
      <c r="AG18" s="219">
        <v>30.973762000000001</v>
      </c>
      <c r="AH18" s="219">
        <v>32.064999999999998</v>
      </c>
      <c r="AI18" s="219">
        <v>14.0067</v>
      </c>
      <c r="AJ18" s="219">
        <v>10.81</v>
      </c>
      <c r="AK18" s="219">
        <v>54.938043999999998</v>
      </c>
      <c r="AL18" s="219">
        <v>26.981539999999999</v>
      </c>
      <c r="AM18" s="219">
        <v>51.996099999999998</v>
      </c>
      <c r="AN18" s="219">
        <v>95.95</v>
      </c>
      <c r="AO18" s="220">
        <v>47.866999999999997</v>
      </c>
      <c r="AP18" s="220">
        <v>50.941499999999998</v>
      </c>
      <c r="AQ18" s="220">
        <v>92.906369999999995</v>
      </c>
      <c r="AR18" s="220">
        <v>183.84</v>
      </c>
      <c r="AS18" s="220">
        <v>180.94788</v>
      </c>
      <c r="AT18" s="220">
        <v>91.224000000000004</v>
      </c>
      <c r="AU18" s="220">
        <v>58.933194999999998</v>
      </c>
      <c r="AV18" s="220">
        <v>24.305</v>
      </c>
      <c r="AW18" s="219">
        <v>121.76</v>
      </c>
      <c r="AX18" s="219">
        <v>207.2</v>
      </c>
      <c r="AY18" s="219">
        <v>118.71</v>
      </c>
      <c r="AZ18" s="89"/>
      <c r="BA18" s="89"/>
      <c r="BB18" s="89"/>
    </row>
    <row r="19" spans="1:54" ht="21" x14ac:dyDescent="0.35">
      <c r="A19" s="89"/>
      <c r="B19" s="217" t="e">
        <f>100*((((B18)*(AA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C19" s="217" t="e">
        <f>100*((((C18)*(AB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D19" s="217" t="e">
        <f>100*((((D18)*(AC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E19" s="217" t="e">
        <f>100*((((E18)*(AD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F19" s="217" t="e">
        <f>100*((((F18)*(AE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G19" s="217" t="e">
        <f>100*((((G18)*(AF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H19" s="217" t="e">
        <f>100*((((H18)*(AG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I19" s="217" t="e">
        <f>100*((((I18)*(AH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J19" s="217" t="e">
        <f>100*((((J18)*(AI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K19" s="217" t="e">
        <f>100*((((K18)*(AJ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L19" s="217" t="e">
        <f>100*((((L18)*(AK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M19" s="217" t="e">
        <f>100*((((M18)*(AL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N19" s="217" t="e">
        <f>100*((((N18)*(AM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O19" s="217" t="e">
        <f>100*((((O18)*(AN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P19" s="217" t="e">
        <f>100*((((P18)*(AO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Q19" s="217" t="e">
        <f>100*((((Q18)*(AP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R19" s="217" t="e">
        <f>100*((((R18)*(AQ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S19" s="217" t="e">
        <f>100*((((S18)*(AR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T19" s="217" t="e">
        <f>100*((((T18)*(AS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U19" s="217" t="e">
        <f>100*((((U18)*(AT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V19" s="217" t="e">
        <f>100*((((V18)*(AU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W19" s="217" t="e">
        <f>100*((((W18)*(AV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X19" s="219" t="e">
        <f>100*((((X18)*(AW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Y19" s="219" t="e">
        <f>100*((((Y18)*(AX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Z19" s="219" t="e">
        <f>100*((((Z18)*(AY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89"/>
      <c r="BA19" s="89"/>
      <c r="BB19" s="89"/>
    </row>
    <row r="20" spans="1:54" ht="21" x14ac:dyDescent="0.35">
      <c r="A20" s="89"/>
      <c r="B20" s="89"/>
      <c r="C20" s="89"/>
      <c r="D20" s="89"/>
      <c r="E20" s="89" t="e">
        <f>E19/'opt 8'!G6</f>
        <v>#DIV/0!</v>
      </c>
      <c r="F20" s="89" t="e">
        <f>F19/'opt 8'!G6</f>
        <v>#DIV/0!</v>
      </c>
      <c r="G20" s="89" t="e">
        <f>G19/'opt 8'!G6</f>
        <v>#DIV/0!</v>
      </c>
      <c r="H20" s="89" t="e">
        <f>H19/'opt 8'!G6</f>
        <v>#DIV/0!</v>
      </c>
      <c r="I20" s="89" t="e">
        <f>I19/'opt 8'!G6</f>
        <v>#DIV/0!</v>
      </c>
      <c r="J20" s="89"/>
      <c r="K20" s="89"/>
      <c r="L20" s="89" t="e">
        <f>L19/'opt 8'!G6</f>
        <v>#DIV/0!</v>
      </c>
      <c r="M20" s="89" t="e">
        <f>M19/'opt 8'!G6</f>
        <v>#DIV/0!</v>
      </c>
      <c r="N20" s="89" t="e">
        <f>N19/'opt 8'!G6</f>
        <v>#DIV/0!</v>
      </c>
      <c r="O20" s="89" t="e">
        <f>O19/'opt 8'!G6</f>
        <v>#DIV/0!</v>
      </c>
      <c r="P20" s="89" t="e">
        <f>P19/'opt 8'!G6</f>
        <v>#DIV/0!</v>
      </c>
      <c r="Q20" s="89" t="e">
        <f>Q19/'opt 8'!G6</f>
        <v>#DIV/0!</v>
      </c>
      <c r="R20" s="89" t="e">
        <f>R19/'opt 8'!G6</f>
        <v>#DIV/0!</v>
      </c>
      <c r="S20" s="89" t="e">
        <f>S19/'opt 8'!G6</f>
        <v>#DIV/0!</v>
      </c>
      <c r="T20" s="89" t="e">
        <f>T19/'opt 8'!G6</f>
        <v>#DIV/0!</v>
      </c>
      <c r="U20" s="89" t="e">
        <f>U19/'opt 8'!G6</f>
        <v>#DIV/0!</v>
      </c>
      <c r="V20" s="89" t="e">
        <f>V19/'opt 8'!G6</f>
        <v>#DIV/0!</v>
      </c>
      <c r="W20" s="89" t="e">
        <f>W19/'opt 8'!G6</f>
        <v>#DIV/0!</v>
      </c>
      <c r="X20" s="89" t="e">
        <f>X19/'opt 8'!G6</f>
        <v>#DIV/0!</v>
      </c>
      <c r="Y20" s="89" t="e">
        <f>Y19/'opt 8'!G6</f>
        <v>#DIV/0!</v>
      </c>
      <c r="Z20" s="89" t="e">
        <f>Z19/'opt 8'!G6</f>
        <v>#DIV/0!</v>
      </c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</row>
    <row r="21" spans="1:54" ht="21" x14ac:dyDescent="0.3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</row>
    <row r="22" spans="1:54" ht="21" x14ac:dyDescent="0.3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</row>
    <row r="23" spans="1:54" ht="21" x14ac:dyDescent="0.3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</row>
    <row r="24" spans="1:54" ht="21" x14ac:dyDescent="0.3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</row>
    <row r="25" spans="1:54" ht="21" x14ac:dyDescent="0.3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</row>
    <row r="26" spans="1:54" ht="21" x14ac:dyDescent="0.35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</row>
    <row r="27" spans="1:54" ht="21" x14ac:dyDescent="0.35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</row>
  </sheetData>
  <pageMargins left="0.7" right="0.7" top="0.75" bottom="0.75" header="0.3" footer="0.3"/>
  <pageSetup paperSize="9" orientation="portrait" verticalDpi="597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8C4B-BBFB-4408-959F-AFFD7A8C9626}">
  <dimension ref="A1:AZ25"/>
  <sheetViews>
    <sheetView zoomScale="89" zoomScaleNormal="89" workbookViewId="0">
      <selection activeCell="H27" sqref="H27"/>
    </sheetView>
  </sheetViews>
  <sheetFormatPr baseColWidth="10" defaultColWidth="8.7109375" defaultRowHeight="15" x14ac:dyDescent="0.25"/>
  <cols>
    <col min="1" max="1" width="24.42578125" customWidth="1"/>
    <col min="2" max="2" width="17.28515625" customWidth="1"/>
    <col min="3" max="3" width="13.5703125" customWidth="1"/>
    <col min="4" max="4" width="11.140625" customWidth="1"/>
    <col min="5" max="5" width="9" customWidth="1"/>
    <col min="6" max="6" width="6.140625" customWidth="1"/>
    <col min="7" max="7" width="5.7109375" customWidth="1"/>
    <col min="8" max="8" width="6.5703125" customWidth="1"/>
    <col min="9" max="9" width="9.42578125" customWidth="1"/>
    <col min="10" max="11" width="12.7109375" customWidth="1"/>
    <col min="12" max="13" width="6" customWidth="1"/>
    <col min="14" max="14" width="5.85546875" customWidth="1"/>
    <col min="15" max="15" width="5.42578125" customWidth="1"/>
    <col min="16" max="17" width="8.85546875" bestFit="1" customWidth="1"/>
  </cols>
  <sheetData>
    <row r="1" spans="1:52" ht="21" x14ac:dyDescent="0.35">
      <c r="A1" s="89" t="s">
        <v>34</v>
      </c>
      <c r="B1" s="190"/>
      <c r="C1" s="190">
        <f>C5-C2</f>
        <v>3.0806052622011419</v>
      </c>
      <c r="D1" s="190">
        <f>D4-D2</f>
        <v>1.3390140731654472</v>
      </c>
      <c r="E1" s="190">
        <f>E2-E5</f>
        <v>0</v>
      </c>
      <c r="F1" s="190">
        <f>F4-F2</f>
        <v>0</v>
      </c>
      <c r="G1" s="190">
        <f t="shared" ref="G1:O1" si="0">G4-G2</f>
        <v>0.91521970155323784</v>
      </c>
      <c r="H1" s="190">
        <f t="shared" si="0"/>
        <v>8.8718546811123438E-3</v>
      </c>
      <c r="I1" s="190">
        <f>I4-I2</f>
        <v>1.7139854382745025E-3</v>
      </c>
      <c r="J1" s="190">
        <f>J5-J2</f>
        <v>0</v>
      </c>
      <c r="K1" s="190">
        <f>K5-K2</f>
        <v>0</v>
      </c>
      <c r="L1" s="190">
        <f t="shared" si="0"/>
        <v>1.6006086588236572</v>
      </c>
      <c r="M1" s="190">
        <f t="shared" si="0"/>
        <v>2.2612196288118464E-3</v>
      </c>
      <c r="N1" s="190">
        <f t="shared" si="0"/>
        <v>1.3740766327042508</v>
      </c>
      <c r="O1" s="190">
        <f t="shared" si="0"/>
        <v>0.10882959025400381</v>
      </c>
      <c r="P1" s="190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</row>
    <row r="2" spans="1:52" ht="21" x14ac:dyDescent="0.35">
      <c r="A2" s="89" t="s">
        <v>37</v>
      </c>
      <c r="B2" s="191">
        <f>100-C2-D2-E2-F2-G2-H2-I2-J2-K2-L2-M2-N2-O2</f>
        <v>100</v>
      </c>
      <c r="C2" s="89">
        <f>'1.0330_3'!C11</f>
        <v>0</v>
      </c>
      <c r="D2" s="89">
        <f>'1.0330_3'!D11</f>
        <v>0</v>
      </c>
      <c r="E2" s="89">
        <f>'1.0330_3'!E11</f>
        <v>0</v>
      </c>
      <c r="F2" s="89">
        <f>'1.0330_3'!F11</f>
        <v>0</v>
      </c>
      <c r="G2" s="89">
        <f>'1.0330_3'!G11</f>
        <v>0</v>
      </c>
      <c r="H2" s="89">
        <f>'1.0330_3'!H11</f>
        <v>0</v>
      </c>
      <c r="I2" s="89">
        <f>'1.0330_3'!I11</f>
        <v>0</v>
      </c>
      <c r="J2" s="89">
        <f>'1.0330_3'!J11</f>
        <v>0</v>
      </c>
      <c r="K2" s="89">
        <f>'1.0330_3'!K11</f>
        <v>0</v>
      </c>
      <c r="L2" s="89">
        <f>'1.0330_3'!L11</f>
        <v>0</v>
      </c>
      <c r="M2" s="89">
        <f>'1.0330_3'!M11</f>
        <v>0</v>
      </c>
      <c r="N2" s="89">
        <f>'1.0330_3'!N11</f>
        <v>0</v>
      </c>
      <c r="O2" s="89">
        <f>'1.0330_3'!O11</f>
        <v>0</v>
      </c>
      <c r="P2" s="89">
        <f>'1.0330_3'!P11</f>
        <v>0</v>
      </c>
      <c r="Q2" s="89">
        <f>'1.0330_3'!Q11</f>
        <v>0</v>
      </c>
      <c r="R2" s="89">
        <f>'1.0330_3'!R11</f>
        <v>0</v>
      </c>
      <c r="S2" s="89">
        <f>'1.0330_3'!S11</f>
        <v>0</v>
      </c>
      <c r="T2" s="89">
        <f>'1.0330_3'!T11</f>
        <v>0</v>
      </c>
      <c r="U2" s="89">
        <f>'1.0330_3'!U11</f>
        <v>0</v>
      </c>
      <c r="V2" s="89">
        <f>'1.0330_3'!V11</f>
        <v>0</v>
      </c>
      <c r="W2" s="89">
        <f>'1.0330_3'!W11</f>
        <v>0</v>
      </c>
      <c r="X2" s="89">
        <f>'1.0330_3'!X11</f>
        <v>0</v>
      </c>
      <c r="Y2" s="89">
        <f>'1.0330_3'!Y11</f>
        <v>0</v>
      </c>
      <c r="Z2" s="89">
        <f>'1.0330_3'!Z11</f>
        <v>0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</row>
    <row r="3" spans="1:52" ht="21" x14ac:dyDescent="0.35">
      <c r="A3" s="89"/>
      <c r="B3" s="210" t="s">
        <v>14</v>
      </c>
      <c r="C3" s="210" t="s">
        <v>15</v>
      </c>
      <c r="D3" s="210" t="s">
        <v>8</v>
      </c>
      <c r="E3" s="210" t="s">
        <v>9</v>
      </c>
      <c r="F3" s="210" t="s">
        <v>234</v>
      </c>
      <c r="G3" s="210" t="s">
        <v>56</v>
      </c>
      <c r="H3" s="210" t="s">
        <v>57</v>
      </c>
      <c r="I3" s="210" t="s">
        <v>58</v>
      </c>
      <c r="J3" s="210" t="s">
        <v>77</v>
      </c>
      <c r="K3" s="210" t="s">
        <v>204</v>
      </c>
      <c r="L3" s="210" t="s">
        <v>16</v>
      </c>
      <c r="M3" s="210" t="s">
        <v>12</v>
      </c>
      <c r="N3" s="210" t="s">
        <v>44</v>
      </c>
      <c r="O3" s="210" t="s">
        <v>55</v>
      </c>
      <c r="P3" s="210" t="s">
        <v>17</v>
      </c>
      <c r="Q3" s="210" t="s">
        <v>80</v>
      </c>
      <c r="R3" s="210" t="s">
        <v>81</v>
      </c>
      <c r="S3" s="210" t="s">
        <v>82</v>
      </c>
      <c r="T3" s="210" t="s">
        <v>83</v>
      </c>
      <c r="U3" s="210" t="s">
        <v>45</v>
      </c>
      <c r="V3" s="210" t="s">
        <v>43</v>
      </c>
      <c r="W3" s="210" t="s">
        <v>13</v>
      </c>
      <c r="X3" s="210" t="s">
        <v>0</v>
      </c>
      <c r="Y3" s="210" t="s">
        <v>11</v>
      </c>
      <c r="Z3" s="210" t="s">
        <v>10</v>
      </c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</row>
    <row r="4" spans="1:52" ht="21" x14ac:dyDescent="0.35">
      <c r="A4" s="89" t="s">
        <v>35</v>
      </c>
      <c r="B4" s="190">
        <f>100-C4-D4-E4-F4-G4-H4-I4-J4-K4-L4-M4-N4-O4-P4-Q4-R4-S4-T4-U4-V4-W4-X4-Y4-Z4</f>
        <v>92.840162287943642</v>
      </c>
      <c r="C4" s="190">
        <f>'opt 1'!B3</f>
        <v>1.741591189035695</v>
      </c>
      <c r="D4" s="190">
        <f>'opt 1'!C3</f>
        <v>1.3390140731654472</v>
      </c>
      <c r="E4" s="190">
        <f>'opt 1'!D3</f>
        <v>0</v>
      </c>
      <c r="F4" s="190">
        <f>'opt 1'!E3</f>
        <v>0</v>
      </c>
      <c r="G4" s="190">
        <f>'opt 1'!F3</f>
        <v>0.91521970155323784</v>
      </c>
      <c r="H4" s="190">
        <f>'opt 1'!G3</f>
        <v>8.8718546811123438E-3</v>
      </c>
      <c r="I4" s="190">
        <f>'opt 1'!H3</f>
        <v>1.7139854382745025E-3</v>
      </c>
      <c r="J4" s="190">
        <f>'opt 1'!I3</f>
        <v>3.9237609914021089E-3</v>
      </c>
      <c r="K4" s="190">
        <f>'opt 1'!J3</f>
        <v>7.6261253115085933E-3</v>
      </c>
      <c r="L4" s="190">
        <f>'opt 1'!K3</f>
        <v>1.6006086588236572</v>
      </c>
      <c r="M4" s="190">
        <f>'opt 1'!L3</f>
        <v>2.2612196288118464E-3</v>
      </c>
      <c r="N4" s="190">
        <f>'opt 1'!M3</f>
        <v>1.3740766327042508</v>
      </c>
      <c r="O4" s="190">
        <f>'opt 1'!N3</f>
        <v>0.10882959025400381</v>
      </c>
      <c r="P4" s="190">
        <f>'opt 1'!O3</f>
        <v>0</v>
      </c>
      <c r="Q4" s="89">
        <f>'opt 1'!P3</f>
        <v>5.6100920468972061E-2</v>
      </c>
      <c r="R4" s="89">
        <f>'opt 1'!Q3</f>
        <v>0</v>
      </c>
      <c r="S4" s="89">
        <f>'opt 1'!R3</f>
        <v>0</v>
      </c>
      <c r="T4" s="89">
        <f>'opt 1'!S3</f>
        <v>0</v>
      </c>
      <c r="U4" s="89">
        <f>'opt 1'!T3</f>
        <v>0</v>
      </c>
      <c r="V4" s="89">
        <f>'opt 1'!U3</f>
        <v>0</v>
      </c>
      <c r="W4" s="89">
        <f>'opt 1'!V3</f>
        <v>0</v>
      </c>
      <c r="X4" s="89">
        <f>'opt 1'!W3</f>
        <v>0</v>
      </c>
      <c r="Y4" s="89">
        <f>'opt 1'!X3</f>
        <v>0</v>
      </c>
      <c r="Z4" s="89">
        <f>'opt 1'!Y3</f>
        <v>0</v>
      </c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</row>
    <row r="5" spans="1:52" ht="21" x14ac:dyDescent="0.35">
      <c r="A5" s="89" t="s">
        <v>36</v>
      </c>
      <c r="B5" s="190">
        <f>100-C5-D5-E5-F5-G5-H5-I5-J5-K5-L5-M5-N5-O5</f>
        <v>95.129458622201113</v>
      </c>
      <c r="C5" s="149">
        <f>C4+D4+E4+F4</f>
        <v>3.0806052622011419</v>
      </c>
      <c r="D5" s="158"/>
      <c r="E5" s="159"/>
      <c r="F5" s="159"/>
      <c r="G5" s="159">
        <f>G2+H4+I4+J4+K4</f>
        <v>2.2135726422297549E-2</v>
      </c>
      <c r="H5" s="159"/>
      <c r="I5" s="159"/>
      <c r="J5" s="149"/>
      <c r="K5" s="149"/>
      <c r="L5" s="7">
        <f>L4</f>
        <v>1.6006086588236572</v>
      </c>
      <c r="M5" s="7">
        <f>M4+P4+Q4+R4+S4+T4+U4+V4+W4+X4+Y4+Z4</f>
        <v>5.8362140097783906E-2</v>
      </c>
      <c r="N5" s="7">
        <f>N2+O4</f>
        <v>0.10882959025400381</v>
      </c>
      <c r="O5" s="7"/>
      <c r="P5" s="7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</row>
    <row r="6" spans="1:52" ht="21" x14ac:dyDescent="0.35">
      <c r="A6" s="89"/>
      <c r="B6" s="190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</row>
    <row r="7" spans="1:52" ht="21" x14ac:dyDescent="0.35">
      <c r="A7" s="89" t="s">
        <v>92</v>
      </c>
      <c r="B7" s="153">
        <f>100-C7-D7-E7-F7-G7-H7-I7-J7-K7-L7-M7-N7-O7-P7-Q7-R7-S7-T7-U7-V7-W7-X7-Y7-Z7</f>
        <v>101.52608031031072</v>
      </c>
      <c r="C7" s="156">
        <f>C2-D4-E4-F4</f>
        <v>-1.3390140731654472</v>
      </c>
      <c r="D7" s="156">
        <f>D2</f>
        <v>0</v>
      </c>
      <c r="E7" s="156"/>
      <c r="F7" s="156"/>
      <c r="G7" s="156">
        <f>G2-H4-I4-J4-K4</f>
        <v>-2.2135726422297549E-2</v>
      </c>
      <c r="H7" s="156"/>
      <c r="I7" s="156"/>
      <c r="J7" s="156"/>
      <c r="K7" s="156"/>
      <c r="L7" s="156">
        <f>L2</f>
        <v>0</v>
      </c>
      <c r="M7" s="156">
        <f>M2-P4-Q4-R4-S4-T4-U4-V4-W4-X4-Y4-Z4</f>
        <v>-5.6100920468972061E-2</v>
      </c>
      <c r="N7" s="156">
        <f>N2-O4</f>
        <v>-0.10882959025400381</v>
      </c>
      <c r="O7" s="156"/>
      <c r="P7" s="156"/>
      <c r="Q7" s="177"/>
      <c r="R7" s="177"/>
      <c r="S7" s="177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</row>
    <row r="8" spans="1:52" ht="21" x14ac:dyDescent="0.35">
      <c r="A8" s="89"/>
      <c r="B8" s="190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</row>
    <row r="9" spans="1:52" ht="21" x14ac:dyDescent="0.35">
      <c r="A9" s="89"/>
      <c r="B9" s="190"/>
      <c r="C9" s="190"/>
      <c r="D9" s="190"/>
      <c r="E9" s="190"/>
      <c r="F9" s="190" t="s">
        <v>7</v>
      </c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</row>
    <row r="10" spans="1:52" ht="21" x14ac:dyDescent="0.35">
      <c r="A10" s="89" t="s">
        <v>32</v>
      </c>
      <c r="B10" s="193"/>
      <c r="C10" s="193"/>
      <c r="D10" s="190"/>
      <c r="E10" s="193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</row>
    <row r="11" spans="1:52" ht="21" x14ac:dyDescent="0.35">
      <c r="A11" s="89" t="s">
        <v>33</v>
      </c>
      <c r="B11" s="192"/>
      <c r="C11" s="192"/>
      <c r="D11" s="190"/>
      <c r="E11" s="192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</row>
    <row r="12" spans="1:52" ht="21" x14ac:dyDescent="0.35">
      <c r="A12" s="89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</row>
    <row r="13" spans="1:52" ht="21" x14ac:dyDescent="0.35">
      <c r="A13" s="89"/>
      <c r="B13" s="190" t="s">
        <v>14</v>
      </c>
      <c r="C13" s="193" t="s">
        <v>56</v>
      </c>
      <c r="D13" s="193" t="s">
        <v>15</v>
      </c>
      <c r="E13" s="192" t="s">
        <v>8</v>
      </c>
      <c r="F13" s="193" t="s">
        <v>9</v>
      </c>
      <c r="G13" s="193" t="s">
        <v>57</v>
      </c>
      <c r="H13" s="192" t="s">
        <v>58</v>
      </c>
      <c r="I13" s="193" t="s">
        <v>77</v>
      </c>
      <c r="J13" s="192" t="s">
        <v>13</v>
      </c>
      <c r="K13" s="193" t="s">
        <v>16</v>
      </c>
      <c r="L13" s="193" t="s">
        <v>55</v>
      </c>
      <c r="M13" s="192" t="s">
        <v>44</v>
      </c>
      <c r="N13" s="192" t="s">
        <v>10</v>
      </c>
      <c r="O13" s="193" t="s">
        <v>12</v>
      </c>
      <c r="P13" s="190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</row>
    <row r="14" spans="1:52" ht="21" x14ac:dyDescent="0.35">
      <c r="A14" s="89" t="s">
        <v>39</v>
      </c>
      <c r="B14" s="190">
        <f>100-(C14+D14+E14+F14+G14+H14+I14+J14+K14+L14+M14+N14+O14)</f>
        <v>99.549077957567704</v>
      </c>
      <c r="C14" s="190">
        <f>C5-C1</f>
        <v>0</v>
      </c>
      <c r="D14" s="190">
        <f>D5-D1</f>
        <v>-1.3390140731654472</v>
      </c>
      <c r="E14" s="190">
        <f t="shared" ref="E14:I14" si="1">E5</f>
        <v>0</v>
      </c>
      <c r="F14" s="190">
        <f t="shared" si="1"/>
        <v>0</v>
      </c>
      <c r="G14" s="190">
        <f t="shared" si="1"/>
        <v>2.2135726422297549E-2</v>
      </c>
      <c r="H14" s="190">
        <f t="shared" si="1"/>
        <v>0</v>
      </c>
      <c r="I14" s="190">
        <f t="shared" si="1"/>
        <v>0</v>
      </c>
      <c r="J14" s="190">
        <f>J5-J1</f>
        <v>0</v>
      </c>
      <c r="K14" s="190">
        <f>K5-K1</f>
        <v>0</v>
      </c>
      <c r="L14" s="190">
        <f t="shared" ref="L14:O14" si="2">L5</f>
        <v>1.6006086588236572</v>
      </c>
      <c r="M14" s="190">
        <f t="shared" si="2"/>
        <v>5.8362140097783906E-2</v>
      </c>
      <c r="N14" s="190">
        <f t="shared" si="2"/>
        <v>0.10882959025400381</v>
      </c>
      <c r="O14" s="190">
        <f t="shared" si="2"/>
        <v>0</v>
      </c>
      <c r="P14" s="190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</row>
    <row r="15" spans="1:52" ht="21" x14ac:dyDescent="0.3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</row>
    <row r="16" spans="1:52" ht="21" x14ac:dyDescent="0.3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</row>
    <row r="17" spans="1:52" ht="21" x14ac:dyDescent="0.35">
      <c r="A17" s="89"/>
      <c r="B17" s="210" t="s">
        <v>14</v>
      </c>
      <c r="C17" s="210" t="s">
        <v>15</v>
      </c>
      <c r="D17" s="210" t="s">
        <v>8</v>
      </c>
      <c r="E17" s="210" t="s">
        <v>9</v>
      </c>
      <c r="F17" s="210" t="s">
        <v>234</v>
      </c>
      <c r="G17" s="210" t="s">
        <v>56</v>
      </c>
      <c r="H17" s="210" t="s">
        <v>57</v>
      </c>
      <c r="I17" s="210" t="s">
        <v>58</v>
      </c>
      <c r="J17" s="210" t="s">
        <v>77</v>
      </c>
      <c r="K17" s="210" t="s">
        <v>204</v>
      </c>
      <c r="L17" s="210" t="s">
        <v>16</v>
      </c>
      <c r="M17" s="210" t="s">
        <v>12</v>
      </c>
      <c r="N17" s="210" t="s">
        <v>44</v>
      </c>
      <c r="O17" s="210" t="s">
        <v>55</v>
      </c>
      <c r="P17" s="210" t="s">
        <v>17</v>
      </c>
      <c r="Q17" s="210" t="s">
        <v>80</v>
      </c>
      <c r="R17" s="210" t="s">
        <v>81</v>
      </c>
      <c r="S17" s="210" t="s">
        <v>82</v>
      </c>
      <c r="T17" s="210" t="s">
        <v>83</v>
      </c>
      <c r="U17" s="210" t="s">
        <v>45</v>
      </c>
      <c r="V17" s="210" t="s">
        <v>43</v>
      </c>
      <c r="W17" s="210" t="s">
        <v>13</v>
      </c>
      <c r="X17" s="210" t="s">
        <v>0</v>
      </c>
      <c r="Y17" s="210" t="s">
        <v>11</v>
      </c>
      <c r="Z17" s="210" t="s">
        <v>10</v>
      </c>
      <c r="AA17" s="211" t="s">
        <v>14</v>
      </c>
      <c r="AB17" s="212" t="s">
        <v>15</v>
      </c>
      <c r="AC17" s="213" t="s">
        <v>8</v>
      </c>
      <c r="AD17" s="214" t="s">
        <v>9</v>
      </c>
      <c r="AE17" s="213" t="s">
        <v>234</v>
      </c>
      <c r="AF17" s="213" t="s">
        <v>56</v>
      </c>
      <c r="AG17" s="214" t="s">
        <v>57</v>
      </c>
      <c r="AH17" s="213" t="s">
        <v>58</v>
      </c>
      <c r="AI17" s="215" t="s">
        <v>77</v>
      </c>
      <c r="AJ17" s="216" t="s">
        <v>204</v>
      </c>
      <c r="AK17" s="216" t="s">
        <v>16</v>
      </c>
      <c r="AL17" s="215" t="s">
        <v>12</v>
      </c>
      <c r="AM17" s="215" t="s">
        <v>44</v>
      </c>
      <c r="AN17" s="216" t="s">
        <v>55</v>
      </c>
      <c r="AO17" s="210" t="s">
        <v>17</v>
      </c>
      <c r="AP17" s="210" t="s">
        <v>80</v>
      </c>
      <c r="AQ17" s="210" t="s">
        <v>81</v>
      </c>
      <c r="AR17" s="210" t="s">
        <v>82</v>
      </c>
      <c r="AS17" s="210" t="s">
        <v>83</v>
      </c>
      <c r="AT17" s="210" t="s">
        <v>45</v>
      </c>
      <c r="AU17" s="210" t="s">
        <v>43</v>
      </c>
      <c r="AV17" s="210" t="s">
        <v>13</v>
      </c>
      <c r="AW17" s="210" t="s">
        <v>0</v>
      </c>
      <c r="AX17" s="210" t="s">
        <v>11</v>
      </c>
      <c r="AY17" s="210" t="s">
        <v>10</v>
      </c>
      <c r="AZ17" s="89"/>
    </row>
    <row r="18" spans="1:52" ht="21" x14ac:dyDescent="0.35">
      <c r="A18" s="89"/>
      <c r="B18" s="217">
        <f>100-C18-D18-E18-F18-G18-H18-I18-J18-K18-L18-M18-N18-O18-P18-Q18-R18-S18-T18-U18-V18-W18-X18-Y18-Z18</f>
        <v>100</v>
      </c>
      <c r="C18" s="218">
        <f>C7</f>
        <v>-1.3390140731654472</v>
      </c>
      <c r="D18" s="218">
        <f t="shared" ref="D18:Z18" si="3">D4</f>
        <v>1.3390140731654472</v>
      </c>
      <c r="E18" s="218">
        <f t="shared" si="3"/>
        <v>0</v>
      </c>
      <c r="F18" s="218">
        <f t="shared" si="3"/>
        <v>0</v>
      </c>
      <c r="G18" s="218">
        <f>G7</f>
        <v>-2.2135726422297549E-2</v>
      </c>
      <c r="H18" s="218">
        <f t="shared" si="3"/>
        <v>8.8718546811123438E-3</v>
      </c>
      <c r="I18" s="218">
        <f t="shared" si="3"/>
        <v>1.7139854382745025E-3</v>
      </c>
      <c r="J18" s="218">
        <f t="shared" si="3"/>
        <v>3.9237609914021089E-3</v>
      </c>
      <c r="K18" s="218">
        <f t="shared" si="3"/>
        <v>7.6261253115085933E-3</v>
      </c>
      <c r="L18" s="218">
        <f>L7</f>
        <v>0</v>
      </c>
      <c r="M18" s="218">
        <f>M7</f>
        <v>-5.6100920468972061E-2</v>
      </c>
      <c r="N18" s="218">
        <f>N7</f>
        <v>-0.10882959025400381</v>
      </c>
      <c r="O18" s="218">
        <f t="shared" si="3"/>
        <v>0.10882959025400381</v>
      </c>
      <c r="P18" s="218">
        <f t="shared" si="3"/>
        <v>0</v>
      </c>
      <c r="Q18" s="218">
        <f t="shared" si="3"/>
        <v>5.6100920468972061E-2</v>
      </c>
      <c r="R18" s="218">
        <f t="shared" si="3"/>
        <v>0</v>
      </c>
      <c r="S18" s="218">
        <f t="shared" si="3"/>
        <v>0</v>
      </c>
      <c r="T18" s="218">
        <f t="shared" si="3"/>
        <v>0</v>
      </c>
      <c r="U18" s="218">
        <f t="shared" si="3"/>
        <v>0</v>
      </c>
      <c r="V18" s="218">
        <f t="shared" si="3"/>
        <v>0</v>
      </c>
      <c r="W18" s="218">
        <f t="shared" si="3"/>
        <v>0</v>
      </c>
      <c r="X18" s="218">
        <f t="shared" si="3"/>
        <v>0</v>
      </c>
      <c r="Y18" s="218">
        <f t="shared" si="3"/>
        <v>0</v>
      </c>
      <c r="Z18" s="218">
        <f t="shared" si="3"/>
        <v>0</v>
      </c>
      <c r="AA18" s="219">
        <v>55.84</v>
      </c>
      <c r="AB18" s="219">
        <v>28.0855</v>
      </c>
      <c r="AC18" s="219">
        <v>58.693399999999997</v>
      </c>
      <c r="AD18" s="219">
        <v>63.545999999999999</v>
      </c>
      <c r="AE18" s="219">
        <v>65.38</v>
      </c>
      <c r="AF18" s="219">
        <v>12.01</v>
      </c>
      <c r="AG18" s="219">
        <v>30.973762000000001</v>
      </c>
      <c r="AH18" s="219">
        <v>32.064999999999998</v>
      </c>
      <c r="AI18" s="219">
        <v>14.0067</v>
      </c>
      <c r="AJ18" s="219">
        <v>10.81</v>
      </c>
      <c r="AK18" s="219">
        <v>54.938043999999998</v>
      </c>
      <c r="AL18" s="219">
        <v>26.981539999999999</v>
      </c>
      <c r="AM18" s="219">
        <v>51.996099999999998</v>
      </c>
      <c r="AN18" s="219">
        <v>95.95</v>
      </c>
      <c r="AO18" s="220">
        <v>47.866999999999997</v>
      </c>
      <c r="AP18" s="220">
        <v>50.941499999999998</v>
      </c>
      <c r="AQ18" s="220">
        <v>92.906369999999995</v>
      </c>
      <c r="AR18" s="220">
        <v>183.84</v>
      </c>
      <c r="AS18" s="220">
        <v>180.94788</v>
      </c>
      <c r="AT18" s="220">
        <v>91.224000000000004</v>
      </c>
      <c r="AU18" s="220">
        <v>58.933194999999998</v>
      </c>
      <c r="AV18" s="220">
        <v>24.305</v>
      </c>
      <c r="AW18" s="219">
        <v>121.76</v>
      </c>
      <c r="AX18" s="219">
        <v>207.2</v>
      </c>
      <c r="AY18" s="219">
        <v>118.71</v>
      </c>
      <c r="AZ18" s="89"/>
    </row>
    <row r="19" spans="1:52" ht="21" x14ac:dyDescent="0.35">
      <c r="A19" s="89"/>
      <c r="B19" s="217">
        <f>100*((((B18)*(AA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99.159816415528454</v>
      </c>
      <c r="C19" s="217">
        <f>100*((((C18)*(AB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-0.66781720848103243</v>
      </c>
      <c r="D19" s="217">
        <f>100*((((D18)*(AC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1.3956120611796345</v>
      </c>
      <c r="E19" s="217">
        <f>100*((((E18)*(AD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F19" s="217">
        <f>100*((((F18)*(AE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G19" s="217">
        <f>100*((((G18)*(AF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-4.720924886245567E-3</v>
      </c>
      <c r="H19" s="217">
        <f>100*((((H18)*(AG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4.879762451677044E-3</v>
      </c>
      <c r="I19" s="217">
        <f>100*((((I18)*(AH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9.7595249033540865E-4</v>
      </c>
      <c r="J19" s="217">
        <f>100*((((J18)*(AI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9.7595249033540865E-4</v>
      </c>
      <c r="K19" s="217">
        <f>100*((((K18)*(AJ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1.4639287355031135E-3</v>
      </c>
      <c r="L19" s="217">
        <f>100*((((L18)*(AK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M19" s="217">
        <f>100*((((M18)*(AL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-2.6879861411940972E-2</v>
      </c>
      <c r="N19" s="217">
        <f>100*((((N18)*(AM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-0.10048658075787908</v>
      </c>
      <c r="O19" s="217">
        <f>100*((((O18)*(AN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0.18543097316372764</v>
      </c>
      <c r="P19" s="217">
        <f>100*((((P18)*(AO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Q19" s="217">
        <f>100*((((Q18)*(AP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5.0749529497441256E-2</v>
      </c>
      <c r="R19" s="217">
        <f>100*((((R18)*(AQ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S19" s="217">
        <f>100*((((S18)*(AR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T19" s="217">
        <f>100*((((T18)*(AS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U19" s="217">
        <f>100*((((U18)*(AT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V19" s="217">
        <f>100*((((V18)*(AU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W19" s="217">
        <f>100*((((W18)*(AV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X19" s="219">
        <f>100*((((X18)*(AW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Y19" s="219">
        <f>100*((((Y18)*(AX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Z19" s="219">
        <f>100*((((Z18)*(AY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89"/>
    </row>
    <row r="20" spans="1:52" ht="21" x14ac:dyDescent="0.35">
      <c r="A20" s="89"/>
      <c r="B20" s="89"/>
      <c r="C20" s="89"/>
      <c r="D20" s="89"/>
      <c r="E20" s="89" t="e">
        <f>E19/'opt 8'!G6</f>
        <v>#DIV/0!</v>
      </c>
      <c r="F20" s="89" t="e">
        <f>F19/'opt 8'!G6</f>
        <v>#DIV/0!</v>
      </c>
      <c r="G20" s="89" t="e">
        <f>G19/'opt 8'!G6</f>
        <v>#DIV/0!</v>
      </c>
      <c r="H20" s="89" t="e">
        <f>H19/'opt 8'!G6</f>
        <v>#DIV/0!</v>
      </c>
      <c r="I20" s="89" t="e">
        <f>I19/'opt 8'!G6</f>
        <v>#DIV/0!</v>
      </c>
      <c r="J20" s="89"/>
      <c r="K20" s="89"/>
      <c r="L20" s="89" t="e">
        <f>L19/'opt 8'!G6</f>
        <v>#DIV/0!</v>
      </c>
      <c r="M20" s="89" t="e">
        <f>M19/'opt 8'!G6</f>
        <v>#DIV/0!</v>
      </c>
      <c r="N20" s="89" t="e">
        <f>N19/'opt 8'!G6</f>
        <v>#DIV/0!</v>
      </c>
      <c r="O20" s="89" t="e">
        <f>O19/'opt 8'!G6</f>
        <v>#DIV/0!</v>
      </c>
      <c r="P20" s="89" t="e">
        <f>P19/'opt 8'!G6</f>
        <v>#DIV/0!</v>
      </c>
      <c r="Q20" s="89" t="e">
        <f>Q19/'opt 8'!G6</f>
        <v>#DIV/0!</v>
      </c>
      <c r="R20" s="89" t="e">
        <f>R19/'opt 8'!G6</f>
        <v>#DIV/0!</v>
      </c>
      <c r="S20" s="89" t="e">
        <f>S19/'opt 8'!G6</f>
        <v>#DIV/0!</v>
      </c>
      <c r="T20" s="89" t="e">
        <f>T19/'opt 8'!G6</f>
        <v>#DIV/0!</v>
      </c>
      <c r="U20" s="89" t="e">
        <f>U19/'opt 8'!G6</f>
        <v>#DIV/0!</v>
      </c>
      <c r="V20" s="89" t="e">
        <f>V19/'opt 8'!G6</f>
        <v>#DIV/0!</v>
      </c>
      <c r="W20" s="89" t="e">
        <f>W19/'opt 8'!G6</f>
        <v>#DIV/0!</v>
      </c>
      <c r="X20" s="89" t="e">
        <f>X19/'opt 8'!G6</f>
        <v>#DIV/0!</v>
      </c>
      <c r="Y20" s="89" t="e">
        <f>Y19/'opt 8'!G6</f>
        <v>#DIV/0!</v>
      </c>
      <c r="Z20" s="89" t="e">
        <f>Z19/'opt 8'!G6</f>
        <v>#DIV/0!</v>
      </c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</row>
    <row r="21" spans="1:52" ht="21" x14ac:dyDescent="0.3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</row>
    <row r="22" spans="1:52" ht="21" x14ac:dyDescent="0.3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</row>
    <row r="23" spans="1:52" ht="21" x14ac:dyDescent="0.3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</row>
    <row r="24" spans="1:52" ht="21" x14ac:dyDescent="0.3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</row>
    <row r="25" spans="1:52" ht="21" x14ac:dyDescent="0.3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</row>
  </sheetData>
  <pageMargins left="0.7" right="0.7" top="0.75" bottom="0.75" header="0.3" footer="0.3"/>
  <pageSetup paperSize="9" orientation="portrait" verticalDpi="597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EAB5-A477-452D-A846-F3ABB744E281}">
  <dimension ref="A1:AX4"/>
  <sheetViews>
    <sheetView workbookViewId="0">
      <selection activeCell="I18" sqref="I18"/>
    </sheetView>
  </sheetViews>
  <sheetFormatPr baseColWidth="10" defaultRowHeight="15" x14ac:dyDescent="0.25"/>
  <cols>
    <col min="2" max="2" width="14.42578125" customWidth="1"/>
    <col min="3" max="3" width="16.28515625" customWidth="1"/>
  </cols>
  <sheetData>
    <row r="1" spans="1:50" ht="18" x14ac:dyDescent="0.25">
      <c r="A1" s="210" t="s">
        <v>14</v>
      </c>
      <c r="B1" s="210" t="s">
        <v>15</v>
      </c>
      <c r="C1" s="210" t="s">
        <v>8</v>
      </c>
      <c r="D1" s="210" t="s">
        <v>9</v>
      </c>
      <c r="E1" s="210" t="s">
        <v>234</v>
      </c>
      <c r="F1" s="210" t="s">
        <v>56</v>
      </c>
      <c r="G1" s="210" t="s">
        <v>57</v>
      </c>
      <c r="H1" s="210" t="s">
        <v>58</v>
      </c>
      <c r="I1" s="210" t="s">
        <v>77</v>
      </c>
      <c r="J1" s="210" t="s">
        <v>204</v>
      </c>
      <c r="K1" s="210" t="s">
        <v>16</v>
      </c>
      <c r="L1" s="210" t="s">
        <v>12</v>
      </c>
      <c r="M1" s="210" t="s">
        <v>44</v>
      </c>
      <c r="N1" s="210" t="s">
        <v>55</v>
      </c>
      <c r="O1" s="210" t="s">
        <v>17</v>
      </c>
      <c r="P1" s="210" t="s">
        <v>80</v>
      </c>
      <c r="Q1" s="210" t="s">
        <v>81</v>
      </c>
      <c r="R1" s="210" t="s">
        <v>82</v>
      </c>
      <c r="S1" s="210" t="s">
        <v>83</v>
      </c>
      <c r="T1" s="210" t="s">
        <v>45</v>
      </c>
      <c r="U1" s="210" t="s">
        <v>43</v>
      </c>
      <c r="V1" s="210" t="s">
        <v>13</v>
      </c>
      <c r="W1" s="210" t="s">
        <v>0</v>
      </c>
      <c r="X1" s="210" t="s">
        <v>11</v>
      </c>
      <c r="Y1" s="210" t="s">
        <v>10</v>
      </c>
      <c r="Z1" s="210" t="s">
        <v>14</v>
      </c>
      <c r="AA1" s="210" t="s">
        <v>15</v>
      </c>
      <c r="AB1" s="210" t="s">
        <v>8</v>
      </c>
      <c r="AC1" s="210" t="s">
        <v>9</v>
      </c>
      <c r="AD1" s="210" t="s">
        <v>234</v>
      </c>
      <c r="AE1" s="210" t="s">
        <v>56</v>
      </c>
      <c r="AF1" s="210" t="s">
        <v>57</v>
      </c>
      <c r="AG1" s="210" t="s">
        <v>58</v>
      </c>
      <c r="AH1" s="210" t="s">
        <v>77</v>
      </c>
      <c r="AI1" s="210" t="s">
        <v>204</v>
      </c>
      <c r="AJ1" s="210" t="s">
        <v>16</v>
      </c>
      <c r="AK1" s="210" t="s">
        <v>12</v>
      </c>
      <c r="AL1" s="210" t="s">
        <v>44</v>
      </c>
      <c r="AM1" s="210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13</v>
      </c>
      <c r="AV1" s="210" t="s">
        <v>0</v>
      </c>
      <c r="AW1" s="210" t="s">
        <v>11</v>
      </c>
      <c r="AX1" s="210" t="s">
        <v>10</v>
      </c>
    </row>
    <row r="2" spans="1:50" ht="23.25" x14ac:dyDescent="0.35">
      <c r="A2" s="36">
        <f>100-B2-C2-D2-E2-F2-G2-H2-I2-J2-K2-L2-M2-N2-O2-P2-Q2-R2-S2-T2-U2-V2-W2-X2-Y2</f>
        <v>100</v>
      </c>
      <c r="B2" s="71">
        <f>'1.0330_3'!C11</f>
        <v>0</v>
      </c>
      <c r="C2" s="71">
        <f>'1.0330_3'!D11</f>
        <v>0</v>
      </c>
      <c r="D2" s="71">
        <f>'1.0330_3'!E11</f>
        <v>0</v>
      </c>
      <c r="E2" s="71">
        <f>'1.0330_3'!F11</f>
        <v>0</v>
      </c>
      <c r="F2" s="71">
        <f>'1.0330_3'!G11</f>
        <v>0</v>
      </c>
      <c r="G2" s="71">
        <f>'1.0330_3'!H11</f>
        <v>0</v>
      </c>
      <c r="H2" s="71">
        <f>'1.0330_3'!I11</f>
        <v>0</v>
      </c>
      <c r="I2" s="71">
        <f>'1.0330_3'!J11</f>
        <v>0</v>
      </c>
      <c r="J2" s="71">
        <f>'1.0330_3'!K11</f>
        <v>0</v>
      </c>
      <c r="K2" s="71">
        <f>'1.0330_3'!L11</f>
        <v>0</v>
      </c>
      <c r="L2" s="71">
        <f>'1.0330_3'!M11</f>
        <v>0</v>
      </c>
      <c r="M2" s="71">
        <f>'1.0330_3'!N11</f>
        <v>0</v>
      </c>
      <c r="N2" s="71">
        <f>'1.0330_3'!O11</f>
        <v>0</v>
      </c>
      <c r="O2" s="71">
        <f>'1.0330_3'!P11</f>
        <v>0</v>
      </c>
      <c r="P2" s="71">
        <f>'1.0330_3'!Q11</f>
        <v>0</v>
      </c>
      <c r="Q2" s="71">
        <f>'1.0330_3'!R11</f>
        <v>0</v>
      </c>
      <c r="R2" s="71">
        <f>'1.0330_3'!S11</f>
        <v>0</v>
      </c>
      <c r="S2" s="71">
        <f>'1.0330_3'!T11</f>
        <v>0</v>
      </c>
      <c r="T2" s="71">
        <f>'1.0330_3'!U11</f>
        <v>0</v>
      </c>
      <c r="U2" s="71">
        <f>'1.0330_3'!V11</f>
        <v>0</v>
      </c>
      <c r="V2" s="71">
        <f>'1.0330_3'!W11</f>
        <v>0</v>
      </c>
      <c r="W2" s="71">
        <f>'1.0330_3'!X11</f>
        <v>0</v>
      </c>
      <c r="X2" s="71">
        <f>'1.0330_3'!Y11</f>
        <v>0</v>
      </c>
      <c r="Y2" s="71">
        <f>'1.0330_3'!Z11</f>
        <v>0</v>
      </c>
      <c r="Z2" s="68">
        <v>55.84</v>
      </c>
      <c r="AA2" s="7">
        <v>28.0855</v>
      </c>
      <c r="AB2" s="7">
        <v>58.693399999999997</v>
      </c>
      <c r="AC2" s="7">
        <v>63.545999999999999</v>
      </c>
      <c r="AD2" s="7">
        <v>65.38</v>
      </c>
      <c r="AE2" s="7">
        <v>12.01</v>
      </c>
      <c r="AF2" s="7">
        <v>30.973762000000001</v>
      </c>
      <c r="AG2" s="7">
        <v>32.064999999999998</v>
      </c>
      <c r="AH2" s="7">
        <v>14.0067</v>
      </c>
      <c r="AI2" s="7">
        <v>10.81</v>
      </c>
      <c r="AJ2" s="7">
        <v>54.938043999999998</v>
      </c>
      <c r="AK2" s="7">
        <v>26.981539999999999</v>
      </c>
      <c r="AL2" s="7">
        <v>51.996099999999998</v>
      </c>
      <c r="AM2" s="7">
        <v>95.95</v>
      </c>
      <c r="AN2">
        <v>47.866999999999997</v>
      </c>
      <c r="AO2">
        <v>50.941499999999998</v>
      </c>
      <c r="AP2">
        <v>92.906369999999995</v>
      </c>
      <c r="AQ2">
        <v>183.84</v>
      </c>
      <c r="AR2">
        <v>180.94788</v>
      </c>
      <c r="AS2">
        <v>91.224000000000004</v>
      </c>
      <c r="AT2">
        <v>58.933194999999998</v>
      </c>
      <c r="AU2">
        <v>24.305</v>
      </c>
      <c r="AV2" s="7">
        <v>121.76</v>
      </c>
      <c r="AW2" s="7">
        <v>207.2</v>
      </c>
      <c r="AX2" s="7">
        <v>118.71</v>
      </c>
    </row>
    <row r="3" spans="1:50" ht="18.75" x14ac:dyDescent="0.3">
      <c r="A3" s="36">
        <f>100*((((A2)*(Z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100</v>
      </c>
      <c r="B3" s="36">
        <f>100*((((B2)*(AA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C3" s="36">
        <f>100*((((C2)*(AB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D3" s="36">
        <f>100*((((D2)*(AC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E3" s="36">
        <f>100*((((E2)*(AD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F3" s="36">
        <f>100*((((F2)*(AE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G3" s="36">
        <f>100*((((G2)*(AF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H3" s="36">
        <f>100*((((H2)*(AG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I3" s="36">
        <f>100*((((I2)*(AH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J3" s="36">
        <f>100*((((J2)*(AI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K3" s="36">
        <f>100*((((K2)*(AJ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L3" s="36">
        <f>100*((((L2)*(AK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M3" s="36">
        <f>100*((((M2)*(AL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N3" s="36">
        <f>100*((((N2)*(AM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W2))+((X2)/(AW2))+((Y2)/(AX2)))))</f>
        <v>0</v>
      </c>
      <c r="P3" s="36">
        <f>100*((((P2)*(AO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Q3" s="36">
        <f>100*((((Q2)*(AP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R3" s="36">
        <f>100*((((R2)*(AQ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S3" s="36">
        <f>100*((((S2)*(AR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T3" s="36">
        <f>100*((((T2)*(AS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U3" s="36">
        <f>100*((((U2)*(AT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V3" s="36">
        <f>100*((((V2)*(AU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W3" s="7">
        <f>100*((((W2)*(AV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X3" s="7">
        <f>100*((((X2)*(AW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Y3" s="7">
        <f>100*((((Y2)*(AX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Z3" s="68">
        <v>55.84</v>
      </c>
      <c r="AA3" s="7">
        <v>95.94</v>
      </c>
      <c r="AB3" s="7">
        <v>183.85</v>
      </c>
      <c r="AC3" s="7">
        <v>58.933199999999999</v>
      </c>
      <c r="AD3" s="7">
        <v>63.54</v>
      </c>
      <c r="AE3" s="7">
        <v>12.01</v>
      </c>
      <c r="AF3" s="7">
        <v>28.085000000000001</v>
      </c>
      <c r="AG3" s="7">
        <v>47.88</v>
      </c>
      <c r="AH3" s="7">
        <v>58.692999999999998</v>
      </c>
      <c r="AI3" s="7">
        <v>51.99</v>
      </c>
      <c r="AJ3" s="7">
        <v>54.93</v>
      </c>
      <c r="AK3" s="7">
        <v>92.9</v>
      </c>
      <c r="AL3" s="7">
        <v>14.0067</v>
      </c>
      <c r="AM3" s="7">
        <v>26.981539999999999</v>
      </c>
    </row>
    <row r="4" spans="1:50" ht="15.75" x14ac:dyDescent="0.25">
      <c r="A4" s="8"/>
      <c r="B4" s="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A7D67-86FD-45ED-BB8F-5B7A33E9F4B7}">
  <dimension ref="A1:BB328"/>
  <sheetViews>
    <sheetView tabSelected="1" zoomScale="78" zoomScaleNormal="78" workbookViewId="0">
      <selection activeCell="S9" sqref="S9"/>
    </sheetView>
  </sheetViews>
  <sheetFormatPr baseColWidth="10" defaultRowHeight="15" x14ac:dyDescent="0.25"/>
  <cols>
    <col min="1" max="1" width="29.5703125" customWidth="1"/>
    <col min="2" max="2" width="16.85546875" customWidth="1"/>
    <col min="3" max="4" width="15.5703125" customWidth="1"/>
    <col min="5" max="5" width="14" customWidth="1"/>
    <col min="6" max="6" width="11.7109375" customWidth="1"/>
    <col min="7" max="7" width="12.28515625" customWidth="1"/>
    <col min="8" max="8" width="10.85546875" customWidth="1"/>
    <col min="9" max="9" width="12.5703125" customWidth="1"/>
    <col min="10" max="10" width="14.140625" customWidth="1"/>
    <col min="11" max="11" width="15.140625" customWidth="1"/>
    <col min="12" max="12" width="12" customWidth="1"/>
    <col min="13" max="13" width="14.7109375" customWidth="1"/>
    <col min="14" max="14" width="13.7109375" customWidth="1"/>
    <col min="15" max="15" width="11.140625" customWidth="1"/>
    <col min="16" max="16" width="11.7109375" customWidth="1"/>
    <col min="17" max="17" width="10" customWidth="1"/>
    <col min="18" max="18" width="9.28515625" customWidth="1"/>
    <col min="19" max="19" width="11.42578125" customWidth="1"/>
    <col min="20" max="20" width="9.5703125" customWidth="1"/>
    <col min="21" max="21" width="11.7109375" customWidth="1"/>
    <col min="22" max="22" width="9.140625" customWidth="1"/>
    <col min="23" max="23" width="8.28515625" customWidth="1"/>
    <col min="24" max="25" width="7.7109375" customWidth="1"/>
    <col min="26" max="26" width="8.140625" customWidth="1"/>
    <col min="29" max="29" width="8.140625" customWidth="1"/>
    <col min="30" max="30" width="12.28515625" customWidth="1"/>
    <col min="31" max="31" width="8.85546875" customWidth="1"/>
    <col min="32" max="32" width="7.5703125" customWidth="1"/>
    <col min="33" max="33" width="8.140625" customWidth="1"/>
    <col min="34" max="34" width="7.5703125" customWidth="1"/>
    <col min="35" max="35" width="7.28515625" customWidth="1"/>
    <col min="36" max="36" width="8.140625" customWidth="1"/>
    <col min="37" max="37" width="5.140625" customWidth="1"/>
    <col min="38" max="38" width="9.28515625" customWidth="1"/>
    <col min="39" max="40" width="8.5703125" customWidth="1"/>
  </cols>
  <sheetData>
    <row r="1" spans="1:54" ht="26.25" x14ac:dyDescent="0.4">
      <c r="A1" s="89"/>
      <c r="B1" s="89">
        <f>SUM(C1:Z1)</f>
        <v>58.999299999999998</v>
      </c>
      <c r="C1" s="287">
        <f>'OK OK'!C2</f>
        <v>10</v>
      </c>
      <c r="D1" s="287">
        <f>'OK OK'!D2</f>
        <v>8</v>
      </c>
      <c r="E1" s="287"/>
      <c r="F1" s="287"/>
      <c r="G1" s="287">
        <f>'OK OK'!G2</f>
        <v>22</v>
      </c>
      <c r="H1" s="287"/>
      <c r="I1" s="287"/>
      <c r="J1" s="287"/>
      <c r="K1" s="287"/>
      <c r="L1" s="89">
        <f>'OK OK'!L2</f>
        <v>10</v>
      </c>
      <c r="M1" s="89"/>
      <c r="N1" s="89">
        <f>'OK OK'!N2</f>
        <v>8</v>
      </c>
      <c r="O1" s="89">
        <f>'OK OK'!O2</f>
        <v>0.66600000000000004</v>
      </c>
      <c r="P1" s="89"/>
      <c r="Q1" s="89">
        <f>'OK OK'!Q2</f>
        <v>0.33329999999999999</v>
      </c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</row>
    <row r="2" spans="1:54" ht="21" x14ac:dyDescent="0.35">
      <c r="A2" s="89"/>
      <c r="B2" s="89"/>
      <c r="C2" s="194">
        <f t="shared" ref="C2:Z2" si="0">C1*100/599</f>
        <v>1.669449081803005</v>
      </c>
      <c r="D2" s="194">
        <f t="shared" si="0"/>
        <v>1.335559265442404</v>
      </c>
      <c r="E2" s="194">
        <f t="shared" si="0"/>
        <v>0</v>
      </c>
      <c r="F2" s="194">
        <f t="shared" si="0"/>
        <v>0</v>
      </c>
      <c r="G2" s="194">
        <f t="shared" si="0"/>
        <v>3.672787979966611</v>
      </c>
      <c r="H2" s="194">
        <f t="shared" si="0"/>
        <v>0</v>
      </c>
      <c r="I2" s="194">
        <f t="shared" si="0"/>
        <v>0</v>
      </c>
      <c r="J2" s="194">
        <f t="shared" si="0"/>
        <v>0</v>
      </c>
      <c r="K2" s="194">
        <f t="shared" si="0"/>
        <v>0</v>
      </c>
      <c r="L2" s="194">
        <f t="shared" si="0"/>
        <v>1.669449081803005</v>
      </c>
      <c r="M2" s="194">
        <f t="shared" si="0"/>
        <v>0</v>
      </c>
      <c r="N2" s="194">
        <f t="shared" si="0"/>
        <v>1.335559265442404</v>
      </c>
      <c r="O2" s="194">
        <f t="shared" si="0"/>
        <v>0.11118530884808014</v>
      </c>
      <c r="P2" s="194">
        <f t="shared" si="0"/>
        <v>0</v>
      </c>
      <c r="Q2" s="194">
        <f t="shared" si="0"/>
        <v>5.5642737896494154E-2</v>
      </c>
      <c r="R2" s="194">
        <f t="shared" si="0"/>
        <v>0</v>
      </c>
      <c r="S2" s="194">
        <f t="shared" si="0"/>
        <v>0</v>
      </c>
      <c r="T2" s="194">
        <f t="shared" si="0"/>
        <v>0</v>
      </c>
      <c r="U2" s="194">
        <f t="shared" si="0"/>
        <v>0</v>
      </c>
      <c r="V2" s="194">
        <f t="shared" si="0"/>
        <v>0</v>
      </c>
      <c r="W2" s="194">
        <f t="shared" si="0"/>
        <v>0</v>
      </c>
      <c r="X2" s="194">
        <f t="shared" si="0"/>
        <v>0</v>
      </c>
      <c r="Y2" s="194">
        <f t="shared" si="0"/>
        <v>0</v>
      </c>
      <c r="Z2" s="194">
        <f t="shared" si="0"/>
        <v>0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</row>
    <row r="3" spans="1:54" ht="21" x14ac:dyDescent="0.35">
      <c r="A3" s="89"/>
      <c r="B3" s="197" t="s">
        <v>14</v>
      </c>
      <c r="C3" s="197" t="s">
        <v>15</v>
      </c>
      <c r="D3" s="197" t="s">
        <v>8</v>
      </c>
      <c r="E3" s="197" t="s">
        <v>9</v>
      </c>
      <c r="F3" s="197" t="s">
        <v>234</v>
      </c>
      <c r="G3" s="197" t="s">
        <v>56</v>
      </c>
      <c r="H3" s="197" t="s">
        <v>57</v>
      </c>
      <c r="I3" s="197" t="s">
        <v>58</v>
      </c>
      <c r="J3" s="197" t="s">
        <v>77</v>
      </c>
      <c r="K3" s="197" t="s">
        <v>204</v>
      </c>
      <c r="L3" s="197" t="s">
        <v>16</v>
      </c>
      <c r="M3" s="197" t="s">
        <v>12</v>
      </c>
      <c r="N3" s="197" t="s">
        <v>44</v>
      </c>
      <c r="O3" s="197" t="s">
        <v>55</v>
      </c>
      <c r="P3" s="197" t="s">
        <v>17</v>
      </c>
      <c r="Q3" s="197" t="s">
        <v>80</v>
      </c>
      <c r="R3" s="197" t="s">
        <v>81</v>
      </c>
      <c r="S3" s="197" t="s">
        <v>82</v>
      </c>
      <c r="T3" s="197" t="s">
        <v>83</v>
      </c>
      <c r="U3" s="197" t="s">
        <v>45</v>
      </c>
      <c r="V3" s="197" t="s">
        <v>43</v>
      </c>
      <c r="W3" s="197" t="s">
        <v>13</v>
      </c>
      <c r="X3" s="197" t="s">
        <v>0</v>
      </c>
      <c r="Y3" s="197" t="s">
        <v>11</v>
      </c>
      <c r="Z3" s="197" t="s">
        <v>10</v>
      </c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</row>
    <row r="4" spans="1:54" ht="21" x14ac:dyDescent="0.35">
      <c r="A4" s="89">
        <v>28</v>
      </c>
      <c r="B4" s="139"/>
      <c r="C4" s="89">
        <f>C2</f>
        <v>1.669449081803005</v>
      </c>
      <c r="D4" s="89">
        <f t="shared" ref="D4:Z4" si="1">D2</f>
        <v>1.335559265442404</v>
      </c>
      <c r="E4" s="89">
        <f t="shared" si="1"/>
        <v>0</v>
      </c>
      <c r="F4" s="89">
        <f t="shared" si="1"/>
        <v>0</v>
      </c>
      <c r="G4" s="89">
        <f t="shared" si="1"/>
        <v>3.672787979966611</v>
      </c>
      <c r="H4" s="89">
        <f t="shared" si="1"/>
        <v>0</v>
      </c>
      <c r="I4" s="89">
        <f t="shared" si="1"/>
        <v>0</v>
      </c>
      <c r="J4" s="89">
        <f t="shared" si="1"/>
        <v>0</v>
      </c>
      <c r="K4" s="89">
        <f t="shared" si="1"/>
        <v>0</v>
      </c>
      <c r="L4" s="89">
        <f t="shared" si="1"/>
        <v>1.669449081803005</v>
      </c>
      <c r="M4" s="89">
        <f t="shared" si="1"/>
        <v>0</v>
      </c>
      <c r="N4" s="89">
        <f t="shared" si="1"/>
        <v>1.335559265442404</v>
      </c>
      <c r="O4" s="89">
        <f t="shared" si="1"/>
        <v>0.11118530884808014</v>
      </c>
      <c r="P4" s="89">
        <f t="shared" si="1"/>
        <v>0</v>
      </c>
      <c r="Q4" s="89">
        <f t="shared" si="1"/>
        <v>5.5642737896494154E-2</v>
      </c>
      <c r="R4" s="89">
        <f t="shared" si="1"/>
        <v>0</v>
      </c>
      <c r="S4" s="89">
        <f t="shared" si="1"/>
        <v>0</v>
      </c>
      <c r="T4" s="89">
        <f t="shared" si="1"/>
        <v>0</v>
      </c>
      <c r="U4" s="89">
        <f t="shared" si="1"/>
        <v>0</v>
      </c>
      <c r="V4" s="89">
        <f t="shared" si="1"/>
        <v>0</v>
      </c>
      <c r="W4" s="89">
        <f t="shared" si="1"/>
        <v>0</v>
      </c>
      <c r="X4" s="89">
        <f t="shared" si="1"/>
        <v>0</v>
      </c>
      <c r="Y4" s="89">
        <f t="shared" si="1"/>
        <v>0</v>
      </c>
      <c r="Z4" s="89">
        <f t="shared" si="1"/>
        <v>0</v>
      </c>
      <c r="AA4" s="89">
        <v>38.5</v>
      </c>
      <c r="AB4" s="194">
        <f>AA4*100/599</f>
        <v>6.4273789649415694</v>
      </c>
      <c r="AC4" s="89" t="s">
        <v>56</v>
      </c>
      <c r="AD4" s="89"/>
      <c r="AE4" s="89">
        <v>4</v>
      </c>
      <c r="AF4" s="194">
        <f>AE4*100/599</f>
        <v>0.667779632721202</v>
      </c>
      <c r="AG4" s="89" t="s">
        <v>56</v>
      </c>
      <c r="AH4" s="89"/>
      <c r="AI4" s="89">
        <v>4</v>
      </c>
      <c r="AJ4" s="194">
        <f>AI4*100/599</f>
        <v>0.667779632721202</v>
      </c>
      <c r="AK4" s="89" t="s">
        <v>56</v>
      </c>
      <c r="AL4" s="89"/>
      <c r="AM4" s="89">
        <v>4</v>
      </c>
      <c r="AN4" s="194">
        <f>AM4*100/599</f>
        <v>0.667779632721202</v>
      </c>
      <c r="AO4" s="89" t="s">
        <v>56</v>
      </c>
      <c r="AP4" s="89"/>
      <c r="AT4" s="89"/>
      <c r="AU4" s="89"/>
      <c r="AV4" s="89"/>
      <c r="AW4" s="89"/>
      <c r="AX4" s="89"/>
      <c r="AY4" s="89"/>
      <c r="AZ4" s="89"/>
      <c r="BA4" s="89"/>
      <c r="BB4" s="89"/>
    </row>
    <row r="5" spans="1:54" ht="21" x14ac:dyDescent="0.35">
      <c r="A5" s="89">
        <v>30</v>
      </c>
      <c r="B5" s="139"/>
      <c r="C5" s="89">
        <v>0.8347245409015025</v>
      </c>
      <c r="D5" s="89">
        <v>0</v>
      </c>
      <c r="E5" s="89">
        <v>0</v>
      </c>
      <c r="F5" s="89">
        <v>0</v>
      </c>
      <c r="G5" s="89">
        <v>12.020033388981636</v>
      </c>
      <c r="H5" s="89">
        <v>0</v>
      </c>
      <c r="I5" s="89">
        <v>0</v>
      </c>
      <c r="J5" s="89">
        <v>0</v>
      </c>
      <c r="K5" s="89">
        <v>0</v>
      </c>
      <c r="L5" s="89">
        <v>0.667779632721202</v>
      </c>
      <c r="M5" s="89">
        <v>0</v>
      </c>
      <c r="N5" s="89">
        <v>24.040066777963272</v>
      </c>
      <c r="O5" s="89">
        <v>0</v>
      </c>
      <c r="P5" s="89">
        <v>0</v>
      </c>
      <c r="Q5" s="89">
        <v>0</v>
      </c>
      <c r="R5" s="89">
        <v>0</v>
      </c>
      <c r="S5" s="89">
        <v>0</v>
      </c>
      <c r="T5" s="89">
        <v>0</v>
      </c>
      <c r="U5" s="89">
        <v>0</v>
      </c>
      <c r="V5" s="89">
        <v>0</v>
      </c>
      <c r="W5" s="89">
        <v>0</v>
      </c>
      <c r="X5" s="89">
        <v>0</v>
      </c>
      <c r="Y5" s="89">
        <v>0</v>
      </c>
      <c r="Z5" s="89">
        <v>0</v>
      </c>
      <c r="AA5" s="89">
        <v>24</v>
      </c>
      <c r="AB5" s="194">
        <f t="shared" ref="AB5:AB6" si="2">AA5*100/599</f>
        <v>4.006677796327212</v>
      </c>
      <c r="AC5" s="89" t="s">
        <v>15</v>
      </c>
      <c r="AD5" s="89">
        <v>10</v>
      </c>
      <c r="AE5" s="89">
        <v>8</v>
      </c>
      <c r="AF5" s="194">
        <f t="shared" ref="AF5:AF16" si="3">AE5*100/599</f>
        <v>1.335559265442404</v>
      </c>
      <c r="AG5" s="89" t="s">
        <v>15</v>
      </c>
      <c r="AH5" s="89">
        <v>12</v>
      </c>
      <c r="AI5" s="89">
        <v>8</v>
      </c>
      <c r="AJ5" s="194">
        <f t="shared" ref="AJ5:AJ16" si="4">AI5*100/599</f>
        <v>1.335559265442404</v>
      </c>
      <c r="AK5" s="89" t="s">
        <v>15</v>
      </c>
      <c r="AL5" s="89">
        <v>12</v>
      </c>
      <c r="AM5" s="89">
        <v>8</v>
      </c>
      <c r="AN5" s="194">
        <f t="shared" ref="AN5:AN16" si="5">AM5*100/599</f>
        <v>1.335559265442404</v>
      </c>
      <c r="AO5" s="89" t="s">
        <v>15</v>
      </c>
      <c r="AP5" s="89">
        <v>12</v>
      </c>
      <c r="AT5" s="89"/>
      <c r="AU5" s="89"/>
      <c r="AV5" s="89"/>
      <c r="AW5" s="89"/>
      <c r="AX5" s="89"/>
      <c r="AY5" s="89"/>
      <c r="AZ5" s="89"/>
      <c r="BA5" s="89"/>
      <c r="BB5" s="89"/>
    </row>
    <row r="6" spans="1:54" ht="21" x14ac:dyDescent="0.35">
      <c r="A6" s="89">
        <v>32</v>
      </c>
      <c r="B6" s="139"/>
      <c r="C6" s="89">
        <v>1.335559265442404</v>
      </c>
      <c r="D6" s="89">
        <v>0</v>
      </c>
      <c r="E6" s="89">
        <v>0</v>
      </c>
      <c r="F6" s="89">
        <v>0</v>
      </c>
      <c r="G6" s="89">
        <v>12.353923205342237</v>
      </c>
      <c r="H6" s="89">
        <v>0</v>
      </c>
      <c r="I6" s="89">
        <v>0</v>
      </c>
      <c r="J6" s="89">
        <v>0</v>
      </c>
      <c r="K6" s="89">
        <v>0</v>
      </c>
      <c r="L6" s="89">
        <v>0.5008347245409015</v>
      </c>
      <c r="M6" s="89">
        <v>0</v>
      </c>
      <c r="N6" s="89">
        <v>25.091819699499169</v>
      </c>
      <c r="O6" s="89">
        <v>0.5008347245409015</v>
      </c>
      <c r="P6" s="89">
        <v>0</v>
      </c>
      <c r="Q6" s="89">
        <v>0</v>
      </c>
      <c r="R6" s="89">
        <v>0</v>
      </c>
      <c r="S6" s="89">
        <v>0</v>
      </c>
      <c r="T6" s="89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89">
        <v>106</v>
      </c>
      <c r="AB6" s="194">
        <f t="shared" si="2"/>
        <v>17.696160267111853</v>
      </c>
      <c r="AC6" s="89" t="s">
        <v>8</v>
      </c>
      <c r="AD6" s="89"/>
      <c r="AE6" s="89">
        <v>4</v>
      </c>
      <c r="AF6" s="194">
        <f t="shared" si="3"/>
        <v>0.667779632721202</v>
      </c>
      <c r="AG6" s="89" t="s">
        <v>44</v>
      </c>
      <c r="AH6" s="89"/>
      <c r="AI6" s="89">
        <v>6</v>
      </c>
      <c r="AJ6" s="194">
        <f t="shared" si="4"/>
        <v>1.001669449081803</v>
      </c>
      <c r="AK6" s="226" t="s">
        <v>44</v>
      </c>
      <c r="AL6" s="89"/>
      <c r="AM6" s="89">
        <v>6</v>
      </c>
      <c r="AN6" s="194">
        <f t="shared" si="5"/>
        <v>1.001669449081803</v>
      </c>
      <c r="AO6" s="226" t="s">
        <v>44</v>
      </c>
      <c r="AP6" s="89"/>
      <c r="AT6" s="89"/>
      <c r="AU6" s="89"/>
      <c r="AV6" s="89"/>
      <c r="AW6" s="89"/>
      <c r="AX6" s="89"/>
      <c r="AY6" s="89"/>
      <c r="AZ6" s="89"/>
      <c r="BA6" s="89"/>
      <c r="BB6" s="89"/>
    </row>
    <row r="7" spans="1:54" ht="21" x14ac:dyDescent="0.35">
      <c r="A7" s="89">
        <v>34</v>
      </c>
      <c r="B7" s="139"/>
      <c r="C7" s="89">
        <v>1.335559265442404</v>
      </c>
      <c r="D7" s="177">
        <v>0</v>
      </c>
      <c r="E7" s="177">
        <v>0</v>
      </c>
      <c r="F7" s="177">
        <v>0</v>
      </c>
      <c r="G7" s="177">
        <v>12.353923205342237</v>
      </c>
      <c r="H7" s="177">
        <v>0</v>
      </c>
      <c r="I7" s="177">
        <v>0</v>
      </c>
      <c r="J7" s="177">
        <v>0</v>
      </c>
      <c r="K7" s="177">
        <v>0</v>
      </c>
      <c r="L7" s="177">
        <v>0.5008347245409015</v>
      </c>
      <c r="M7" s="177">
        <v>0</v>
      </c>
      <c r="N7" s="177">
        <v>25.108514190317194</v>
      </c>
      <c r="O7" s="89">
        <v>0.5008347245409015</v>
      </c>
      <c r="P7" s="177">
        <v>0</v>
      </c>
      <c r="Q7" s="89">
        <v>0</v>
      </c>
      <c r="R7" s="177">
        <v>0</v>
      </c>
      <c r="S7" s="177">
        <v>0</v>
      </c>
      <c r="T7" s="177">
        <v>0</v>
      </c>
      <c r="U7" s="89">
        <v>0</v>
      </c>
      <c r="V7" s="177">
        <v>0</v>
      </c>
      <c r="W7" s="177">
        <v>0</v>
      </c>
      <c r="X7" s="177">
        <v>0</v>
      </c>
      <c r="Y7" s="177">
        <v>0</v>
      </c>
      <c r="Z7" s="177">
        <v>0</v>
      </c>
      <c r="AA7" s="89">
        <v>6.5</v>
      </c>
      <c r="AB7" s="194">
        <f t="shared" ref="AB7:AB16" si="6">AA7*100/599</f>
        <v>1.0851419031719534</v>
      </c>
      <c r="AC7" s="89" t="s">
        <v>16</v>
      </c>
      <c r="AD7" s="89"/>
      <c r="AE7" s="89">
        <v>12</v>
      </c>
      <c r="AF7" s="194">
        <f t="shared" si="3"/>
        <v>2.003338898163606</v>
      </c>
      <c r="AG7" s="89" t="s">
        <v>16</v>
      </c>
      <c r="AH7" s="89"/>
      <c r="AI7" s="89">
        <v>12</v>
      </c>
      <c r="AJ7" s="194">
        <f t="shared" si="4"/>
        <v>2.003338898163606</v>
      </c>
      <c r="AK7" s="89" t="s">
        <v>16</v>
      </c>
      <c r="AL7" s="89"/>
      <c r="AM7" s="89">
        <v>14</v>
      </c>
      <c r="AN7" s="194">
        <f t="shared" si="5"/>
        <v>2.337228714524207</v>
      </c>
      <c r="AO7" s="226" t="s">
        <v>16</v>
      </c>
      <c r="AP7" s="89"/>
      <c r="AT7" s="89"/>
      <c r="AU7" s="89"/>
      <c r="AV7" s="89"/>
      <c r="AW7" s="89"/>
      <c r="AX7" s="89"/>
      <c r="AY7" s="89"/>
      <c r="AZ7" s="89"/>
      <c r="BA7" s="89"/>
      <c r="BB7" s="89"/>
    </row>
    <row r="8" spans="1:54" ht="21" x14ac:dyDescent="0.35">
      <c r="A8" s="89">
        <v>36</v>
      </c>
      <c r="B8" s="139"/>
      <c r="C8" s="89">
        <v>1.335559265442404</v>
      </c>
      <c r="D8" s="177">
        <v>0</v>
      </c>
      <c r="E8" s="177">
        <v>0</v>
      </c>
      <c r="F8" s="177">
        <v>0</v>
      </c>
      <c r="G8" s="177">
        <v>12.353923205342237</v>
      </c>
      <c r="H8" s="177">
        <v>0</v>
      </c>
      <c r="I8" s="177">
        <v>0</v>
      </c>
      <c r="J8" s="177">
        <v>0</v>
      </c>
      <c r="K8" s="177">
        <v>0</v>
      </c>
      <c r="L8" s="177">
        <v>0.5008347245409015</v>
      </c>
      <c r="M8" s="177">
        <v>0</v>
      </c>
      <c r="N8" s="177">
        <v>25.125208681135227</v>
      </c>
      <c r="O8" s="89">
        <v>0.5008347245409015</v>
      </c>
      <c r="P8" s="177">
        <v>0</v>
      </c>
      <c r="Q8" s="89">
        <v>0</v>
      </c>
      <c r="R8" s="177">
        <v>0</v>
      </c>
      <c r="S8" s="177">
        <v>0</v>
      </c>
      <c r="T8" s="177">
        <v>0</v>
      </c>
      <c r="U8" s="89">
        <v>0</v>
      </c>
      <c r="V8" s="177">
        <v>0</v>
      </c>
      <c r="W8" s="177">
        <v>0</v>
      </c>
      <c r="X8" s="177">
        <v>0</v>
      </c>
      <c r="Y8" s="177">
        <v>0</v>
      </c>
      <c r="Z8" s="177">
        <v>0</v>
      </c>
      <c r="AA8" s="89">
        <v>14</v>
      </c>
      <c r="AB8" s="194">
        <f t="shared" si="6"/>
        <v>2.337228714524207</v>
      </c>
      <c r="AC8" s="89" t="s">
        <v>44</v>
      </c>
      <c r="AD8" s="89">
        <f>AA6+AA7+AA8</f>
        <v>126.5</v>
      </c>
      <c r="AE8" s="89">
        <v>12.5</v>
      </c>
      <c r="AF8" s="194">
        <f t="shared" si="3"/>
        <v>2.0868113522537564</v>
      </c>
      <c r="AG8" s="89" t="s">
        <v>12</v>
      </c>
      <c r="AH8" s="89">
        <f>AE6+AE7+AE8</f>
        <v>28.5</v>
      </c>
      <c r="AI8" s="89">
        <v>12.5</v>
      </c>
      <c r="AJ8" s="194">
        <f t="shared" si="4"/>
        <v>2.0868113522537564</v>
      </c>
      <c r="AK8" s="89" t="s">
        <v>12</v>
      </c>
      <c r="AL8" s="89">
        <f>AI6+AI7+AI8</f>
        <v>30.5</v>
      </c>
      <c r="AM8" s="89">
        <v>18.5</v>
      </c>
      <c r="AN8" s="194">
        <f t="shared" si="5"/>
        <v>3.0884808013355594</v>
      </c>
      <c r="AO8" s="89" t="s">
        <v>12</v>
      </c>
      <c r="AP8" s="89">
        <f>AM6+AM7+AM8</f>
        <v>38.5</v>
      </c>
      <c r="AT8" s="89"/>
      <c r="AU8" s="89"/>
      <c r="AV8" s="89"/>
      <c r="AW8" s="89"/>
      <c r="AX8" s="89"/>
      <c r="AY8" s="89"/>
      <c r="AZ8" s="89"/>
      <c r="BA8" s="89"/>
      <c r="BB8" s="89"/>
    </row>
    <row r="9" spans="1:54" ht="21" x14ac:dyDescent="0.35">
      <c r="A9" s="89">
        <v>38</v>
      </c>
      <c r="B9" s="139"/>
      <c r="C9" s="89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89"/>
      <c r="P9" s="177"/>
      <c r="Q9" s="89"/>
      <c r="R9" s="177"/>
      <c r="S9" s="177"/>
      <c r="T9" s="177"/>
      <c r="U9" s="89"/>
      <c r="V9" s="177"/>
      <c r="W9" s="177"/>
      <c r="X9" s="177"/>
      <c r="Y9" s="177"/>
      <c r="Z9" s="177"/>
      <c r="AA9" s="89">
        <v>0.62</v>
      </c>
      <c r="AB9" s="194">
        <f t="shared" si="6"/>
        <v>0.10350584307178631</v>
      </c>
      <c r="AC9" s="89" t="s">
        <v>13</v>
      </c>
      <c r="AD9" s="89"/>
      <c r="AE9" s="89"/>
      <c r="AF9" s="194">
        <f t="shared" si="3"/>
        <v>0</v>
      </c>
      <c r="AG9" s="89"/>
      <c r="AH9" s="89"/>
      <c r="AI9" s="89"/>
      <c r="AJ9" s="194">
        <f t="shared" si="4"/>
        <v>0</v>
      </c>
      <c r="AK9" s="89"/>
      <c r="AL9" s="89"/>
      <c r="AM9" s="89"/>
      <c r="AN9" s="194">
        <f t="shared" si="5"/>
        <v>0</v>
      </c>
      <c r="AO9" s="89"/>
      <c r="AP9" s="89"/>
      <c r="AT9" s="89"/>
      <c r="AU9" s="89"/>
      <c r="AV9" s="89"/>
      <c r="AW9" s="89"/>
      <c r="AX9" s="89"/>
      <c r="AY9" s="89"/>
      <c r="AZ9" s="89"/>
      <c r="BA9" s="89"/>
      <c r="BB9" s="89"/>
    </row>
    <row r="10" spans="1:54" ht="21" x14ac:dyDescent="0.35">
      <c r="A10" s="89">
        <v>40</v>
      </c>
      <c r="B10" s="13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194">
        <f t="shared" si="6"/>
        <v>0</v>
      </c>
      <c r="AC10" s="89"/>
      <c r="AD10" s="89"/>
      <c r="AE10" s="89"/>
      <c r="AF10" s="194">
        <f t="shared" si="3"/>
        <v>0</v>
      </c>
      <c r="AG10" s="89"/>
      <c r="AH10" s="89"/>
      <c r="AI10" s="89"/>
      <c r="AJ10" s="194">
        <f t="shared" si="4"/>
        <v>0</v>
      </c>
      <c r="AK10" s="89"/>
      <c r="AL10" s="89"/>
      <c r="AM10" s="89"/>
      <c r="AN10" s="194">
        <f t="shared" si="5"/>
        <v>0</v>
      </c>
      <c r="AO10" s="89"/>
      <c r="AP10" s="89"/>
      <c r="AT10" s="89"/>
      <c r="AU10" s="89"/>
      <c r="AV10" s="89"/>
      <c r="AW10" s="89"/>
      <c r="AX10" s="89"/>
      <c r="AY10" s="89"/>
      <c r="AZ10" s="89"/>
      <c r="BA10" s="89"/>
      <c r="BB10" s="89"/>
    </row>
    <row r="11" spans="1:54" ht="21" x14ac:dyDescent="0.35">
      <c r="A11" s="89">
        <v>42</v>
      </c>
      <c r="B11" s="13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194">
        <f t="shared" si="6"/>
        <v>0</v>
      </c>
      <c r="AC11" s="89"/>
      <c r="AD11" s="89"/>
      <c r="AE11" s="89"/>
      <c r="AF11" s="194">
        <f t="shared" si="3"/>
        <v>0</v>
      </c>
      <c r="AG11" s="89"/>
      <c r="AH11" s="89"/>
      <c r="AI11" s="89"/>
      <c r="AJ11" s="194">
        <f t="shared" si="4"/>
        <v>0</v>
      </c>
      <c r="AK11" s="89"/>
      <c r="AL11" s="89"/>
      <c r="AM11" s="89"/>
      <c r="AN11" s="194">
        <f t="shared" si="5"/>
        <v>0</v>
      </c>
      <c r="AO11" s="89"/>
      <c r="AP11" s="89"/>
      <c r="AT11" s="89"/>
      <c r="AU11" s="89"/>
      <c r="AV11" s="89"/>
      <c r="AW11" s="89"/>
      <c r="AX11" s="89"/>
      <c r="AY11" s="89"/>
      <c r="AZ11" s="89"/>
      <c r="BA11" s="89"/>
      <c r="BB11" s="89"/>
    </row>
    <row r="12" spans="1:54" ht="21" x14ac:dyDescent="0.35">
      <c r="A12" s="89">
        <v>44</v>
      </c>
      <c r="B12" s="13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194">
        <f t="shared" si="6"/>
        <v>0</v>
      </c>
      <c r="AC12" s="89"/>
      <c r="AD12" s="89"/>
      <c r="AE12" s="89"/>
      <c r="AF12" s="194">
        <f t="shared" si="3"/>
        <v>0</v>
      </c>
      <c r="AG12" s="89"/>
      <c r="AH12" s="89"/>
      <c r="AI12" s="89"/>
      <c r="AJ12" s="194">
        <f t="shared" si="4"/>
        <v>0</v>
      </c>
      <c r="AK12" s="89"/>
      <c r="AL12" s="89"/>
      <c r="AM12" s="89"/>
      <c r="AN12" s="194">
        <f t="shared" si="5"/>
        <v>0</v>
      </c>
      <c r="AO12" s="89"/>
      <c r="AP12" s="89"/>
      <c r="AT12" s="89"/>
      <c r="AU12" s="89"/>
      <c r="AV12" s="89"/>
      <c r="AW12" s="89"/>
      <c r="AX12" s="89"/>
      <c r="AY12" s="89"/>
      <c r="AZ12" s="89"/>
      <c r="BA12" s="89"/>
      <c r="BB12" s="89"/>
    </row>
    <row r="13" spans="1:54" ht="21" x14ac:dyDescent="0.35">
      <c r="A13" s="89">
        <v>46</v>
      </c>
      <c r="B13" s="13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194">
        <f t="shared" si="6"/>
        <v>0</v>
      </c>
      <c r="AC13" s="89"/>
      <c r="AD13" s="89"/>
      <c r="AE13" s="89"/>
      <c r="AF13" s="194">
        <f t="shared" si="3"/>
        <v>0</v>
      </c>
      <c r="AG13" s="89"/>
      <c r="AH13" s="89"/>
      <c r="AI13" s="89"/>
      <c r="AJ13" s="194">
        <f t="shared" si="4"/>
        <v>0</v>
      </c>
      <c r="AK13" s="89"/>
      <c r="AL13" s="89"/>
      <c r="AM13" s="89"/>
      <c r="AN13" s="194">
        <f t="shared" si="5"/>
        <v>0</v>
      </c>
      <c r="AO13" s="89"/>
      <c r="AP13" s="89"/>
      <c r="AT13" s="89"/>
      <c r="AU13" s="89"/>
      <c r="AV13" s="89"/>
      <c r="AW13" s="89"/>
      <c r="AX13" s="89"/>
      <c r="AY13" s="89"/>
      <c r="AZ13" s="89"/>
      <c r="BA13" s="89"/>
      <c r="BB13" s="89"/>
    </row>
    <row r="14" spans="1:54" ht="21" x14ac:dyDescent="0.35">
      <c r="A14" s="89">
        <v>48</v>
      </c>
      <c r="B14" s="13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194">
        <f t="shared" si="6"/>
        <v>0</v>
      </c>
      <c r="AC14" s="89"/>
      <c r="AD14" s="89"/>
      <c r="AE14" s="89"/>
      <c r="AF14" s="194">
        <f t="shared" si="3"/>
        <v>0</v>
      </c>
      <c r="AG14" s="89"/>
      <c r="AH14" s="89"/>
      <c r="AI14" s="89"/>
      <c r="AJ14" s="194">
        <f t="shared" si="4"/>
        <v>0</v>
      </c>
      <c r="AK14" s="89"/>
      <c r="AL14" s="89"/>
      <c r="AM14" s="89"/>
      <c r="AN14" s="194">
        <f t="shared" si="5"/>
        <v>0</v>
      </c>
      <c r="AO14" s="89"/>
      <c r="AP14" s="89"/>
      <c r="AT14" s="89"/>
      <c r="AU14" s="89"/>
      <c r="AV14" s="89"/>
      <c r="AW14" s="89"/>
      <c r="AX14" s="89"/>
      <c r="AY14" s="89"/>
      <c r="AZ14" s="89"/>
      <c r="BA14" s="89"/>
      <c r="BB14" s="89"/>
    </row>
    <row r="15" spans="1:54" ht="21" x14ac:dyDescent="0.35">
      <c r="A15" s="89">
        <v>50</v>
      </c>
      <c r="B15" s="13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194">
        <f t="shared" si="6"/>
        <v>0</v>
      </c>
      <c r="AC15" s="89"/>
      <c r="AD15" s="89"/>
      <c r="AE15" s="89"/>
      <c r="AF15" s="194">
        <f t="shared" si="3"/>
        <v>0</v>
      </c>
      <c r="AG15" s="89"/>
      <c r="AH15" s="89"/>
      <c r="AI15" s="89"/>
      <c r="AJ15" s="194">
        <f t="shared" si="4"/>
        <v>0</v>
      </c>
      <c r="AK15" s="89"/>
      <c r="AL15" s="89"/>
      <c r="AM15" s="89"/>
      <c r="AN15" s="194">
        <f t="shared" si="5"/>
        <v>0</v>
      </c>
      <c r="AO15" s="89"/>
      <c r="AP15" s="89"/>
      <c r="AT15" s="89"/>
      <c r="AU15" s="89"/>
      <c r="AV15" s="89"/>
      <c r="AW15" s="89"/>
      <c r="AX15" s="89"/>
      <c r="AY15" s="89"/>
      <c r="AZ15" s="89"/>
      <c r="BA15" s="89"/>
      <c r="BB15" s="89"/>
    </row>
    <row r="16" spans="1:54" ht="21" x14ac:dyDescent="0.35">
      <c r="A16" s="89">
        <v>52</v>
      </c>
      <c r="B16" s="13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>
        <f>AA4+AA5+AA6+AA7+AA8</f>
        <v>189</v>
      </c>
      <c r="AB16" s="194">
        <f t="shared" si="6"/>
        <v>31.552587646076795</v>
      </c>
      <c r="AC16" s="89"/>
      <c r="AD16" s="89" t="s">
        <v>235</v>
      </c>
      <c r="AE16" s="89">
        <f>AE4+AE5+AE6+AE7+AE8</f>
        <v>40.5</v>
      </c>
      <c r="AF16" s="194">
        <f t="shared" si="3"/>
        <v>6.7612687813021699</v>
      </c>
      <c r="AG16" s="89"/>
      <c r="AH16" s="89" t="s">
        <v>236</v>
      </c>
      <c r="AI16" s="89">
        <f>AI4+AI5+AI6+AI7+AI8</f>
        <v>42.5</v>
      </c>
      <c r="AJ16" s="194">
        <f t="shared" si="4"/>
        <v>7.0951585976627713</v>
      </c>
      <c r="AK16" s="89"/>
      <c r="AL16" s="89" t="s">
        <v>236</v>
      </c>
      <c r="AM16" s="89">
        <f>AM4+AM5+AM6+AM7+AM8</f>
        <v>50.5</v>
      </c>
      <c r="AN16" s="194">
        <f t="shared" si="5"/>
        <v>8.4307178631051745</v>
      </c>
      <c r="AO16" s="89"/>
      <c r="AP16" s="89" t="s">
        <v>236</v>
      </c>
      <c r="AT16" s="89"/>
      <c r="AU16" s="89"/>
      <c r="AV16" s="89"/>
      <c r="AW16" s="89"/>
      <c r="AX16" s="89"/>
      <c r="AY16" s="89"/>
      <c r="AZ16" s="89"/>
      <c r="BA16" s="89"/>
      <c r="BB16" s="89"/>
    </row>
    <row r="17" spans="1:54" ht="23.25" x14ac:dyDescent="0.35">
      <c r="A17" s="227" t="s">
        <v>238</v>
      </c>
      <c r="B17" s="227" t="s">
        <v>56</v>
      </c>
      <c r="C17" s="227"/>
      <c r="D17" s="227"/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7"/>
      <c r="W17" s="227"/>
      <c r="X17" s="227"/>
      <c r="Y17" s="227"/>
      <c r="Z17" s="227"/>
      <c r="AA17" s="227" t="s">
        <v>16</v>
      </c>
      <c r="BA17" s="89"/>
      <c r="BB17" s="89"/>
    </row>
    <row r="18" spans="1:54" ht="23.25" x14ac:dyDescent="0.35">
      <c r="A18" s="228">
        <f>(SUM(C18:Z18))</f>
        <v>58.999299999999998</v>
      </c>
      <c r="B18" s="228">
        <f>(SUM(C18:K18))</f>
        <v>40</v>
      </c>
      <c r="C18" s="227">
        <f>599*C4/100</f>
        <v>10</v>
      </c>
      <c r="D18" s="227">
        <f t="shared" ref="D18:Z19" si="7">599*D4/100</f>
        <v>8</v>
      </c>
      <c r="E18" s="227">
        <f t="shared" si="7"/>
        <v>0</v>
      </c>
      <c r="F18" s="227">
        <f t="shared" si="7"/>
        <v>0</v>
      </c>
      <c r="G18" s="227">
        <f>599*G4/100</f>
        <v>22</v>
      </c>
      <c r="H18" s="227">
        <f t="shared" si="7"/>
        <v>0</v>
      </c>
      <c r="I18" s="227">
        <f>599*I4/100</f>
        <v>0</v>
      </c>
      <c r="J18" s="227">
        <f t="shared" si="7"/>
        <v>0</v>
      </c>
      <c r="K18" s="227">
        <f t="shared" si="7"/>
        <v>0</v>
      </c>
      <c r="L18" s="227">
        <f>599*L4/100</f>
        <v>10</v>
      </c>
      <c r="M18" s="227">
        <f t="shared" si="7"/>
        <v>0</v>
      </c>
      <c r="N18" s="227">
        <f t="shared" si="7"/>
        <v>8</v>
      </c>
      <c r="O18" s="227">
        <f t="shared" si="7"/>
        <v>0.66600000000000004</v>
      </c>
      <c r="P18" s="227">
        <f t="shared" si="7"/>
        <v>0</v>
      </c>
      <c r="Q18" s="227">
        <f t="shared" si="7"/>
        <v>0.33329999999999999</v>
      </c>
      <c r="R18" s="227">
        <f t="shared" si="7"/>
        <v>0</v>
      </c>
      <c r="S18" s="227">
        <f t="shared" si="7"/>
        <v>0</v>
      </c>
      <c r="T18" s="227">
        <f t="shared" si="7"/>
        <v>0</v>
      </c>
      <c r="U18" s="227">
        <f t="shared" si="7"/>
        <v>0</v>
      </c>
      <c r="V18" s="227">
        <f t="shared" si="7"/>
        <v>0</v>
      </c>
      <c r="W18" s="227">
        <f t="shared" si="7"/>
        <v>0</v>
      </c>
      <c r="X18" s="227">
        <f t="shared" si="7"/>
        <v>0</v>
      </c>
      <c r="Y18" s="227">
        <f t="shared" si="7"/>
        <v>0</v>
      </c>
      <c r="Z18" s="227">
        <f t="shared" si="7"/>
        <v>0</v>
      </c>
      <c r="AA18" s="227">
        <f>SUM(L18:Z18)</f>
        <v>18.999300000000002</v>
      </c>
      <c r="BB18" s="89"/>
    </row>
    <row r="19" spans="1:54" ht="23.25" x14ac:dyDescent="0.35">
      <c r="A19" s="228">
        <f>(SUM(C19:Z19))</f>
        <v>225</v>
      </c>
      <c r="B19" s="228">
        <f t="shared" ref="B19:B29" si="8">(SUM(C19:K19))</f>
        <v>77</v>
      </c>
      <c r="C19" s="227">
        <f>599*C5/100</f>
        <v>5</v>
      </c>
      <c r="D19" s="227">
        <f t="shared" si="7"/>
        <v>0</v>
      </c>
      <c r="E19" s="227">
        <f t="shared" si="7"/>
        <v>0</v>
      </c>
      <c r="F19" s="227">
        <f t="shared" si="7"/>
        <v>0</v>
      </c>
      <c r="G19" s="227">
        <f>599*G5/100</f>
        <v>72</v>
      </c>
      <c r="H19" s="227">
        <f t="shared" si="7"/>
        <v>0</v>
      </c>
      <c r="I19" s="227">
        <f>599*I5/100</f>
        <v>0</v>
      </c>
      <c r="J19" s="227">
        <f t="shared" si="7"/>
        <v>0</v>
      </c>
      <c r="K19" s="227">
        <f t="shared" si="7"/>
        <v>0</v>
      </c>
      <c r="L19" s="227">
        <f>599*L5/100</f>
        <v>4</v>
      </c>
      <c r="M19" s="227">
        <f>599*M5/100</f>
        <v>0</v>
      </c>
      <c r="N19" s="227">
        <f t="shared" si="7"/>
        <v>144</v>
      </c>
      <c r="O19" s="227">
        <f t="shared" si="7"/>
        <v>0</v>
      </c>
      <c r="P19" s="227">
        <f t="shared" si="7"/>
        <v>0</v>
      </c>
      <c r="Q19" s="227">
        <f t="shared" si="7"/>
        <v>0</v>
      </c>
      <c r="R19" s="227">
        <f t="shared" si="7"/>
        <v>0</v>
      </c>
      <c r="S19" s="227">
        <f t="shared" si="7"/>
        <v>0</v>
      </c>
      <c r="T19" s="227">
        <f t="shared" si="7"/>
        <v>0</v>
      </c>
      <c r="U19" s="227">
        <f t="shared" si="7"/>
        <v>0</v>
      </c>
      <c r="V19" s="227">
        <f t="shared" si="7"/>
        <v>0</v>
      </c>
      <c r="W19" s="227">
        <f t="shared" si="7"/>
        <v>0</v>
      </c>
      <c r="X19" s="227">
        <f t="shared" si="7"/>
        <v>0</v>
      </c>
      <c r="Y19" s="227">
        <f t="shared" si="7"/>
        <v>0</v>
      </c>
      <c r="Z19" s="227">
        <f t="shared" si="7"/>
        <v>0</v>
      </c>
      <c r="AA19" s="227">
        <f t="shared" ref="AA19:AA30" si="9">SUM(L19:Z19)</f>
        <v>148</v>
      </c>
      <c r="BB19" s="89"/>
    </row>
    <row r="20" spans="1:54" ht="23.25" x14ac:dyDescent="0.35">
      <c r="A20" s="228">
        <f t="shared" ref="A20:A30" si="10">(SUM(C20:Z20))</f>
        <v>238.3</v>
      </c>
      <c r="B20" s="228">
        <f t="shared" si="8"/>
        <v>82</v>
      </c>
      <c r="C20" s="227">
        <f t="shared" ref="C20:Z20" si="11">599*C6/100</f>
        <v>8</v>
      </c>
      <c r="D20" s="227">
        <f t="shared" si="11"/>
        <v>0</v>
      </c>
      <c r="E20" s="227">
        <f t="shared" si="11"/>
        <v>0</v>
      </c>
      <c r="F20" s="227">
        <f t="shared" si="11"/>
        <v>0</v>
      </c>
      <c r="G20" s="227">
        <f t="shared" si="11"/>
        <v>74</v>
      </c>
      <c r="H20" s="227">
        <f t="shared" si="11"/>
        <v>0</v>
      </c>
      <c r="I20" s="227">
        <f>599*I6/100</f>
        <v>0</v>
      </c>
      <c r="J20" s="227">
        <f t="shared" si="11"/>
        <v>0</v>
      </c>
      <c r="K20" s="227">
        <f t="shared" si="11"/>
        <v>0</v>
      </c>
      <c r="L20" s="227">
        <f t="shared" si="11"/>
        <v>3</v>
      </c>
      <c r="M20" s="227">
        <f t="shared" si="11"/>
        <v>0</v>
      </c>
      <c r="N20" s="227">
        <f t="shared" si="11"/>
        <v>150.30000000000001</v>
      </c>
      <c r="O20" s="227">
        <f t="shared" si="11"/>
        <v>3</v>
      </c>
      <c r="P20" s="227">
        <f t="shared" si="11"/>
        <v>0</v>
      </c>
      <c r="Q20" s="227">
        <f t="shared" si="11"/>
        <v>0</v>
      </c>
      <c r="R20" s="227">
        <f t="shared" si="11"/>
        <v>0</v>
      </c>
      <c r="S20" s="227">
        <f t="shared" si="11"/>
        <v>0</v>
      </c>
      <c r="T20" s="227">
        <f t="shared" si="11"/>
        <v>0</v>
      </c>
      <c r="U20" s="227">
        <f t="shared" si="11"/>
        <v>0</v>
      </c>
      <c r="V20" s="227">
        <f t="shared" si="11"/>
        <v>0</v>
      </c>
      <c r="W20" s="227">
        <f t="shared" si="11"/>
        <v>0</v>
      </c>
      <c r="X20" s="227">
        <f t="shared" si="11"/>
        <v>0</v>
      </c>
      <c r="Y20" s="227">
        <f t="shared" si="11"/>
        <v>0</v>
      </c>
      <c r="Z20" s="227">
        <f t="shared" si="11"/>
        <v>0</v>
      </c>
      <c r="AA20" s="227">
        <f t="shared" si="9"/>
        <v>156.30000000000001</v>
      </c>
      <c r="BB20" s="89"/>
    </row>
    <row r="21" spans="1:54" ht="23.25" x14ac:dyDescent="0.35">
      <c r="A21" s="228">
        <f>(SUM(C21:Z21))</f>
        <v>238.4</v>
      </c>
      <c r="B21" s="228">
        <f>(SUM(C21:K21))</f>
        <v>82</v>
      </c>
      <c r="C21" s="227">
        <f t="shared" ref="C21:Z21" si="12">599*C7/100</f>
        <v>8</v>
      </c>
      <c r="D21" s="227">
        <f t="shared" si="12"/>
        <v>0</v>
      </c>
      <c r="E21" s="227">
        <f t="shared" si="12"/>
        <v>0</v>
      </c>
      <c r="F21" s="227">
        <f t="shared" si="12"/>
        <v>0</v>
      </c>
      <c r="G21" s="227">
        <f t="shared" si="12"/>
        <v>74</v>
      </c>
      <c r="H21" s="227">
        <f t="shared" si="12"/>
        <v>0</v>
      </c>
      <c r="I21" s="227">
        <f>599*I7/100</f>
        <v>0</v>
      </c>
      <c r="J21" s="227">
        <f t="shared" si="12"/>
        <v>0</v>
      </c>
      <c r="K21" s="227">
        <f t="shared" si="12"/>
        <v>0</v>
      </c>
      <c r="L21" s="227">
        <f t="shared" si="12"/>
        <v>3</v>
      </c>
      <c r="M21" s="227">
        <f t="shared" si="12"/>
        <v>0</v>
      </c>
      <c r="N21" s="227">
        <f t="shared" si="12"/>
        <v>150.4</v>
      </c>
      <c r="O21" s="227">
        <f t="shared" si="12"/>
        <v>3</v>
      </c>
      <c r="P21" s="227">
        <f t="shared" si="12"/>
        <v>0</v>
      </c>
      <c r="Q21" s="227">
        <f t="shared" si="12"/>
        <v>0</v>
      </c>
      <c r="R21" s="227">
        <f t="shared" si="12"/>
        <v>0</v>
      </c>
      <c r="S21" s="227">
        <f t="shared" si="12"/>
        <v>0</v>
      </c>
      <c r="T21" s="227">
        <f t="shared" si="12"/>
        <v>0</v>
      </c>
      <c r="U21" s="227">
        <f t="shared" si="12"/>
        <v>0</v>
      </c>
      <c r="V21" s="227">
        <f t="shared" si="12"/>
        <v>0</v>
      </c>
      <c r="W21" s="227">
        <f t="shared" si="12"/>
        <v>0</v>
      </c>
      <c r="X21" s="227">
        <f t="shared" si="12"/>
        <v>0</v>
      </c>
      <c r="Y21" s="227">
        <f t="shared" si="12"/>
        <v>0</v>
      </c>
      <c r="Z21" s="227">
        <f t="shared" si="12"/>
        <v>0</v>
      </c>
      <c r="AA21" s="227">
        <f t="shared" si="9"/>
        <v>156.4</v>
      </c>
      <c r="BB21" s="89"/>
    </row>
    <row r="22" spans="1:54" ht="23.25" x14ac:dyDescent="0.35">
      <c r="A22" s="228">
        <f t="shared" si="10"/>
        <v>238.50000000000003</v>
      </c>
      <c r="B22" s="228">
        <f t="shared" si="8"/>
        <v>82</v>
      </c>
      <c r="C22" s="227">
        <f t="shared" ref="C22:Z22" si="13">599*C8/100</f>
        <v>8</v>
      </c>
      <c r="D22" s="227">
        <f t="shared" si="13"/>
        <v>0</v>
      </c>
      <c r="E22" s="227">
        <f t="shared" si="13"/>
        <v>0</v>
      </c>
      <c r="F22" s="227">
        <f t="shared" si="13"/>
        <v>0</v>
      </c>
      <c r="G22" s="227">
        <f t="shared" si="13"/>
        <v>74</v>
      </c>
      <c r="H22" s="227">
        <f t="shared" si="13"/>
        <v>0</v>
      </c>
      <c r="I22" s="227">
        <f>599*I8/100</f>
        <v>0</v>
      </c>
      <c r="J22" s="227">
        <f t="shared" si="13"/>
        <v>0</v>
      </c>
      <c r="K22" s="227">
        <f t="shared" si="13"/>
        <v>0</v>
      </c>
      <c r="L22" s="227">
        <f t="shared" si="13"/>
        <v>3</v>
      </c>
      <c r="M22" s="227">
        <f t="shared" si="13"/>
        <v>0</v>
      </c>
      <c r="N22" s="227">
        <f t="shared" si="13"/>
        <v>150.50000000000003</v>
      </c>
      <c r="O22" s="227">
        <f t="shared" si="13"/>
        <v>3</v>
      </c>
      <c r="P22" s="227">
        <f t="shared" si="13"/>
        <v>0</v>
      </c>
      <c r="Q22" s="227">
        <f t="shared" si="13"/>
        <v>0</v>
      </c>
      <c r="R22" s="227">
        <f t="shared" si="13"/>
        <v>0</v>
      </c>
      <c r="S22" s="227">
        <f t="shared" si="13"/>
        <v>0</v>
      </c>
      <c r="T22" s="227">
        <f t="shared" si="13"/>
        <v>0</v>
      </c>
      <c r="U22" s="227">
        <f t="shared" si="13"/>
        <v>0</v>
      </c>
      <c r="V22" s="227">
        <f t="shared" si="13"/>
        <v>0</v>
      </c>
      <c r="W22" s="227">
        <f t="shared" si="13"/>
        <v>0</v>
      </c>
      <c r="X22" s="227">
        <f t="shared" si="13"/>
        <v>0</v>
      </c>
      <c r="Y22" s="227">
        <f t="shared" si="13"/>
        <v>0</v>
      </c>
      <c r="Z22" s="227">
        <f t="shared" si="13"/>
        <v>0</v>
      </c>
      <c r="AA22" s="227">
        <f t="shared" si="9"/>
        <v>156.50000000000003</v>
      </c>
      <c r="BB22" s="89"/>
    </row>
    <row r="23" spans="1:54" ht="23.25" x14ac:dyDescent="0.35">
      <c r="A23" s="228">
        <f t="shared" si="10"/>
        <v>0</v>
      </c>
      <c r="B23" s="228">
        <f t="shared" si="8"/>
        <v>0</v>
      </c>
      <c r="C23" s="227">
        <f t="shared" ref="C23:Z23" si="14">599*C9/100</f>
        <v>0</v>
      </c>
      <c r="D23" s="227">
        <f t="shared" si="14"/>
        <v>0</v>
      </c>
      <c r="E23" s="227">
        <f t="shared" si="14"/>
        <v>0</v>
      </c>
      <c r="F23" s="227">
        <f t="shared" si="14"/>
        <v>0</v>
      </c>
      <c r="G23" s="227">
        <f t="shared" si="14"/>
        <v>0</v>
      </c>
      <c r="H23" s="227">
        <f t="shared" si="14"/>
        <v>0</v>
      </c>
      <c r="I23" s="227">
        <f t="shared" si="14"/>
        <v>0</v>
      </c>
      <c r="J23" s="227">
        <f t="shared" si="14"/>
        <v>0</v>
      </c>
      <c r="K23" s="227">
        <f t="shared" si="14"/>
        <v>0</v>
      </c>
      <c r="L23" s="227">
        <f t="shared" si="14"/>
        <v>0</v>
      </c>
      <c r="M23" s="227">
        <f t="shared" si="14"/>
        <v>0</v>
      </c>
      <c r="N23" s="227">
        <f t="shared" si="14"/>
        <v>0</v>
      </c>
      <c r="O23" s="227">
        <f t="shared" si="14"/>
        <v>0</v>
      </c>
      <c r="P23" s="227">
        <f t="shared" si="14"/>
        <v>0</v>
      </c>
      <c r="Q23" s="227">
        <f t="shared" si="14"/>
        <v>0</v>
      </c>
      <c r="R23" s="227">
        <f t="shared" si="14"/>
        <v>0</v>
      </c>
      <c r="S23" s="227">
        <f t="shared" si="14"/>
        <v>0</v>
      </c>
      <c r="T23" s="227">
        <f t="shared" si="14"/>
        <v>0</v>
      </c>
      <c r="U23" s="227">
        <f t="shared" si="14"/>
        <v>0</v>
      </c>
      <c r="V23" s="227">
        <f t="shared" si="14"/>
        <v>0</v>
      </c>
      <c r="W23" s="227">
        <f t="shared" si="14"/>
        <v>0</v>
      </c>
      <c r="X23" s="227">
        <f t="shared" si="14"/>
        <v>0</v>
      </c>
      <c r="Y23" s="227">
        <f t="shared" si="14"/>
        <v>0</v>
      </c>
      <c r="Z23" s="227">
        <f t="shared" si="14"/>
        <v>0</v>
      </c>
      <c r="AA23" s="227">
        <f t="shared" si="9"/>
        <v>0</v>
      </c>
      <c r="BB23" s="89"/>
    </row>
    <row r="24" spans="1:54" ht="23.25" x14ac:dyDescent="0.35">
      <c r="A24" s="228">
        <f t="shared" si="10"/>
        <v>0</v>
      </c>
      <c r="B24" s="228">
        <f t="shared" si="8"/>
        <v>0</v>
      </c>
      <c r="C24" s="227">
        <f t="shared" ref="C24:Z24" si="15">599*C10/100</f>
        <v>0</v>
      </c>
      <c r="D24" s="227">
        <f t="shared" si="15"/>
        <v>0</v>
      </c>
      <c r="E24" s="227">
        <f t="shared" si="15"/>
        <v>0</v>
      </c>
      <c r="F24" s="227">
        <f t="shared" si="15"/>
        <v>0</v>
      </c>
      <c r="G24" s="227">
        <f t="shared" si="15"/>
        <v>0</v>
      </c>
      <c r="H24" s="227">
        <f t="shared" si="15"/>
        <v>0</v>
      </c>
      <c r="I24" s="227">
        <f t="shared" si="15"/>
        <v>0</v>
      </c>
      <c r="J24" s="227">
        <f t="shared" si="15"/>
        <v>0</v>
      </c>
      <c r="K24" s="227">
        <f t="shared" si="15"/>
        <v>0</v>
      </c>
      <c r="L24" s="227">
        <f t="shared" si="15"/>
        <v>0</v>
      </c>
      <c r="M24" s="227">
        <f t="shared" si="15"/>
        <v>0</v>
      </c>
      <c r="N24" s="227">
        <f t="shared" si="15"/>
        <v>0</v>
      </c>
      <c r="O24" s="227">
        <f t="shared" si="15"/>
        <v>0</v>
      </c>
      <c r="P24" s="227">
        <f t="shared" si="15"/>
        <v>0</v>
      </c>
      <c r="Q24" s="227">
        <f t="shared" si="15"/>
        <v>0</v>
      </c>
      <c r="R24" s="227">
        <f t="shared" si="15"/>
        <v>0</v>
      </c>
      <c r="S24" s="227">
        <f t="shared" si="15"/>
        <v>0</v>
      </c>
      <c r="T24" s="227">
        <f t="shared" si="15"/>
        <v>0</v>
      </c>
      <c r="U24" s="227">
        <f t="shared" si="15"/>
        <v>0</v>
      </c>
      <c r="V24" s="227">
        <f t="shared" si="15"/>
        <v>0</v>
      </c>
      <c r="W24" s="227">
        <f t="shared" si="15"/>
        <v>0</v>
      </c>
      <c r="X24" s="227">
        <f t="shared" si="15"/>
        <v>0</v>
      </c>
      <c r="Y24" s="227">
        <f t="shared" si="15"/>
        <v>0</v>
      </c>
      <c r="Z24" s="227">
        <f t="shared" si="15"/>
        <v>0</v>
      </c>
      <c r="AA24" s="227">
        <f t="shared" si="9"/>
        <v>0</v>
      </c>
      <c r="BB24" s="89"/>
    </row>
    <row r="25" spans="1:54" ht="23.25" x14ac:dyDescent="0.35">
      <c r="A25" s="228">
        <f t="shared" si="10"/>
        <v>0</v>
      </c>
      <c r="B25" s="228">
        <f t="shared" si="8"/>
        <v>0</v>
      </c>
      <c r="C25" s="227">
        <f t="shared" ref="C25:Z25" si="16">599*C11/100</f>
        <v>0</v>
      </c>
      <c r="D25" s="227">
        <f t="shared" si="16"/>
        <v>0</v>
      </c>
      <c r="E25" s="227">
        <f t="shared" si="16"/>
        <v>0</v>
      </c>
      <c r="F25" s="227">
        <f t="shared" si="16"/>
        <v>0</v>
      </c>
      <c r="G25" s="227">
        <f t="shared" si="16"/>
        <v>0</v>
      </c>
      <c r="H25" s="227">
        <f t="shared" si="16"/>
        <v>0</v>
      </c>
      <c r="I25" s="227">
        <f t="shared" si="16"/>
        <v>0</v>
      </c>
      <c r="J25" s="227">
        <f t="shared" si="16"/>
        <v>0</v>
      </c>
      <c r="K25" s="227">
        <f t="shared" si="16"/>
        <v>0</v>
      </c>
      <c r="L25" s="227">
        <f t="shared" si="16"/>
        <v>0</v>
      </c>
      <c r="M25" s="227">
        <f t="shared" si="16"/>
        <v>0</v>
      </c>
      <c r="N25" s="227">
        <f t="shared" si="16"/>
        <v>0</v>
      </c>
      <c r="O25" s="227">
        <f t="shared" si="16"/>
        <v>0</v>
      </c>
      <c r="P25" s="227">
        <f t="shared" si="16"/>
        <v>0</v>
      </c>
      <c r="Q25" s="227">
        <f t="shared" si="16"/>
        <v>0</v>
      </c>
      <c r="R25" s="227">
        <f t="shared" si="16"/>
        <v>0</v>
      </c>
      <c r="S25" s="227">
        <f t="shared" si="16"/>
        <v>0</v>
      </c>
      <c r="T25" s="227">
        <f t="shared" si="16"/>
        <v>0</v>
      </c>
      <c r="U25" s="227">
        <f t="shared" si="16"/>
        <v>0</v>
      </c>
      <c r="V25" s="227">
        <f t="shared" si="16"/>
        <v>0</v>
      </c>
      <c r="W25" s="227">
        <f t="shared" si="16"/>
        <v>0</v>
      </c>
      <c r="X25" s="227">
        <f t="shared" si="16"/>
        <v>0</v>
      </c>
      <c r="Y25" s="227">
        <f t="shared" si="16"/>
        <v>0</v>
      </c>
      <c r="Z25" s="227">
        <f t="shared" si="16"/>
        <v>0</v>
      </c>
      <c r="AA25" s="227">
        <f t="shared" si="9"/>
        <v>0</v>
      </c>
      <c r="BB25" s="89"/>
    </row>
    <row r="26" spans="1:54" ht="23.25" x14ac:dyDescent="0.35">
      <c r="A26" s="228">
        <f t="shared" si="10"/>
        <v>0</v>
      </c>
      <c r="B26" s="228">
        <f t="shared" si="8"/>
        <v>0</v>
      </c>
      <c r="C26" s="227">
        <f t="shared" ref="C26:Z26" si="17">599*C12/100</f>
        <v>0</v>
      </c>
      <c r="D26" s="227">
        <f t="shared" si="17"/>
        <v>0</v>
      </c>
      <c r="E26" s="227">
        <f t="shared" si="17"/>
        <v>0</v>
      </c>
      <c r="F26" s="227">
        <f t="shared" si="17"/>
        <v>0</v>
      </c>
      <c r="G26" s="227">
        <f t="shared" si="17"/>
        <v>0</v>
      </c>
      <c r="H26" s="227">
        <f t="shared" si="17"/>
        <v>0</v>
      </c>
      <c r="I26" s="227">
        <f t="shared" si="17"/>
        <v>0</v>
      </c>
      <c r="J26" s="227">
        <f t="shared" si="17"/>
        <v>0</v>
      </c>
      <c r="K26" s="227">
        <f t="shared" si="17"/>
        <v>0</v>
      </c>
      <c r="L26" s="227">
        <f t="shared" si="17"/>
        <v>0</v>
      </c>
      <c r="M26" s="227">
        <f t="shared" si="17"/>
        <v>0</v>
      </c>
      <c r="N26" s="227">
        <f t="shared" si="17"/>
        <v>0</v>
      </c>
      <c r="O26" s="227">
        <f t="shared" si="17"/>
        <v>0</v>
      </c>
      <c r="P26" s="227">
        <f t="shared" si="17"/>
        <v>0</v>
      </c>
      <c r="Q26" s="227">
        <f t="shared" si="17"/>
        <v>0</v>
      </c>
      <c r="R26" s="227">
        <f t="shared" si="17"/>
        <v>0</v>
      </c>
      <c r="S26" s="227">
        <f t="shared" si="17"/>
        <v>0</v>
      </c>
      <c r="T26" s="227">
        <f t="shared" si="17"/>
        <v>0</v>
      </c>
      <c r="U26" s="227">
        <f t="shared" si="17"/>
        <v>0</v>
      </c>
      <c r="V26" s="227">
        <f t="shared" si="17"/>
        <v>0</v>
      </c>
      <c r="W26" s="227">
        <f t="shared" si="17"/>
        <v>0</v>
      </c>
      <c r="X26" s="227">
        <f t="shared" si="17"/>
        <v>0</v>
      </c>
      <c r="Y26" s="227">
        <f t="shared" si="17"/>
        <v>0</v>
      </c>
      <c r="Z26" s="227">
        <f t="shared" si="17"/>
        <v>0</v>
      </c>
      <c r="AA26" s="227">
        <f t="shared" si="9"/>
        <v>0</v>
      </c>
      <c r="BB26" s="89"/>
    </row>
    <row r="27" spans="1:54" ht="23.25" x14ac:dyDescent="0.35">
      <c r="A27" s="228">
        <f t="shared" si="10"/>
        <v>0</v>
      </c>
      <c r="B27" s="228">
        <f t="shared" si="8"/>
        <v>0</v>
      </c>
      <c r="C27" s="227">
        <f t="shared" ref="C27:Z27" si="18">599*C13/100</f>
        <v>0</v>
      </c>
      <c r="D27" s="227">
        <f t="shared" si="18"/>
        <v>0</v>
      </c>
      <c r="E27" s="227">
        <f t="shared" si="18"/>
        <v>0</v>
      </c>
      <c r="F27" s="227">
        <f t="shared" si="18"/>
        <v>0</v>
      </c>
      <c r="G27" s="227">
        <f t="shared" si="18"/>
        <v>0</v>
      </c>
      <c r="H27" s="227">
        <f t="shared" si="18"/>
        <v>0</v>
      </c>
      <c r="I27" s="227">
        <f t="shared" si="18"/>
        <v>0</v>
      </c>
      <c r="J27" s="227">
        <f t="shared" si="18"/>
        <v>0</v>
      </c>
      <c r="K27" s="227">
        <f t="shared" si="18"/>
        <v>0</v>
      </c>
      <c r="L27" s="227">
        <f t="shared" si="18"/>
        <v>0</v>
      </c>
      <c r="M27" s="227">
        <f t="shared" si="18"/>
        <v>0</v>
      </c>
      <c r="N27" s="227">
        <f t="shared" si="18"/>
        <v>0</v>
      </c>
      <c r="O27" s="227">
        <f t="shared" si="18"/>
        <v>0</v>
      </c>
      <c r="P27" s="227">
        <f t="shared" si="18"/>
        <v>0</v>
      </c>
      <c r="Q27" s="227">
        <f t="shared" si="18"/>
        <v>0</v>
      </c>
      <c r="R27" s="227">
        <f t="shared" si="18"/>
        <v>0</v>
      </c>
      <c r="S27" s="227">
        <f t="shared" si="18"/>
        <v>0</v>
      </c>
      <c r="T27" s="227">
        <f t="shared" si="18"/>
        <v>0</v>
      </c>
      <c r="U27" s="227">
        <f t="shared" si="18"/>
        <v>0</v>
      </c>
      <c r="V27" s="227">
        <f t="shared" si="18"/>
        <v>0</v>
      </c>
      <c r="W27" s="227">
        <f t="shared" si="18"/>
        <v>0</v>
      </c>
      <c r="X27" s="227">
        <f t="shared" si="18"/>
        <v>0</v>
      </c>
      <c r="Y27" s="227">
        <f t="shared" si="18"/>
        <v>0</v>
      </c>
      <c r="Z27" s="227">
        <f t="shared" si="18"/>
        <v>0</v>
      </c>
      <c r="AA27" s="227">
        <f t="shared" si="9"/>
        <v>0</v>
      </c>
      <c r="BB27" s="89"/>
    </row>
    <row r="28" spans="1:54" ht="23.25" x14ac:dyDescent="0.35">
      <c r="A28" s="228">
        <f t="shared" si="10"/>
        <v>0</v>
      </c>
      <c r="B28" s="228">
        <f>(SUM(C28:K28))</f>
        <v>0</v>
      </c>
      <c r="C28" s="227">
        <f t="shared" ref="C28:Z28" si="19">599*C14/100</f>
        <v>0</v>
      </c>
      <c r="D28" s="227">
        <f t="shared" si="19"/>
        <v>0</v>
      </c>
      <c r="E28" s="227">
        <f t="shared" si="19"/>
        <v>0</v>
      </c>
      <c r="F28" s="227">
        <f t="shared" si="19"/>
        <v>0</v>
      </c>
      <c r="G28" s="227">
        <f t="shared" si="19"/>
        <v>0</v>
      </c>
      <c r="H28" s="227">
        <f t="shared" si="19"/>
        <v>0</v>
      </c>
      <c r="I28" s="227">
        <f t="shared" si="19"/>
        <v>0</v>
      </c>
      <c r="J28" s="227">
        <f t="shared" si="19"/>
        <v>0</v>
      </c>
      <c r="K28" s="227">
        <f t="shared" si="19"/>
        <v>0</v>
      </c>
      <c r="L28" s="227">
        <f t="shared" si="19"/>
        <v>0</v>
      </c>
      <c r="M28" s="227">
        <f t="shared" si="19"/>
        <v>0</v>
      </c>
      <c r="N28" s="227">
        <f t="shared" si="19"/>
        <v>0</v>
      </c>
      <c r="O28" s="227">
        <f t="shared" si="19"/>
        <v>0</v>
      </c>
      <c r="P28" s="227">
        <f t="shared" si="19"/>
        <v>0</v>
      </c>
      <c r="Q28" s="227">
        <f t="shared" si="19"/>
        <v>0</v>
      </c>
      <c r="R28" s="227">
        <f t="shared" si="19"/>
        <v>0</v>
      </c>
      <c r="S28" s="227">
        <f t="shared" si="19"/>
        <v>0</v>
      </c>
      <c r="T28" s="227">
        <f t="shared" si="19"/>
        <v>0</v>
      </c>
      <c r="U28" s="227">
        <f t="shared" si="19"/>
        <v>0</v>
      </c>
      <c r="V28" s="227">
        <f t="shared" si="19"/>
        <v>0</v>
      </c>
      <c r="W28" s="227">
        <f t="shared" si="19"/>
        <v>0</v>
      </c>
      <c r="X28" s="227">
        <f t="shared" si="19"/>
        <v>0</v>
      </c>
      <c r="Y28" s="227">
        <f t="shared" si="19"/>
        <v>0</v>
      </c>
      <c r="Z28" s="227">
        <f t="shared" si="19"/>
        <v>0</v>
      </c>
      <c r="AA28" s="227">
        <f t="shared" si="9"/>
        <v>0</v>
      </c>
      <c r="BB28" s="89"/>
    </row>
    <row r="29" spans="1:54" ht="23.25" x14ac:dyDescent="0.35">
      <c r="A29" s="228">
        <f t="shared" si="10"/>
        <v>0</v>
      </c>
      <c r="B29" s="228">
        <f t="shared" si="8"/>
        <v>0</v>
      </c>
      <c r="C29" s="227">
        <f t="shared" ref="C29:Z29" si="20">599*C15/100</f>
        <v>0</v>
      </c>
      <c r="D29" s="227">
        <f t="shared" si="20"/>
        <v>0</v>
      </c>
      <c r="E29" s="227">
        <f t="shared" si="20"/>
        <v>0</v>
      </c>
      <c r="F29" s="227">
        <f t="shared" si="20"/>
        <v>0</v>
      </c>
      <c r="G29" s="227">
        <f t="shared" si="20"/>
        <v>0</v>
      </c>
      <c r="H29" s="227">
        <f t="shared" si="20"/>
        <v>0</v>
      </c>
      <c r="I29" s="227">
        <f t="shared" si="20"/>
        <v>0</v>
      </c>
      <c r="J29" s="227">
        <f t="shared" si="20"/>
        <v>0</v>
      </c>
      <c r="K29" s="227">
        <f t="shared" si="20"/>
        <v>0</v>
      </c>
      <c r="L29" s="227">
        <f t="shared" si="20"/>
        <v>0</v>
      </c>
      <c r="M29" s="227">
        <f t="shared" si="20"/>
        <v>0</v>
      </c>
      <c r="N29" s="227">
        <f t="shared" si="20"/>
        <v>0</v>
      </c>
      <c r="O29" s="227">
        <f t="shared" si="20"/>
        <v>0</v>
      </c>
      <c r="P29" s="227">
        <f t="shared" si="20"/>
        <v>0</v>
      </c>
      <c r="Q29" s="227">
        <f t="shared" si="20"/>
        <v>0</v>
      </c>
      <c r="R29" s="227">
        <f t="shared" si="20"/>
        <v>0</v>
      </c>
      <c r="S29" s="227">
        <f t="shared" si="20"/>
        <v>0</v>
      </c>
      <c r="T29" s="227">
        <f t="shared" si="20"/>
        <v>0</v>
      </c>
      <c r="U29" s="227">
        <f t="shared" si="20"/>
        <v>0</v>
      </c>
      <c r="V29" s="227">
        <f t="shared" si="20"/>
        <v>0</v>
      </c>
      <c r="W29" s="227">
        <f t="shared" si="20"/>
        <v>0</v>
      </c>
      <c r="X29" s="227">
        <f t="shared" si="20"/>
        <v>0</v>
      </c>
      <c r="Y29" s="227">
        <f t="shared" si="20"/>
        <v>0</v>
      </c>
      <c r="Z29" s="227">
        <f t="shared" si="20"/>
        <v>0</v>
      </c>
      <c r="AA29" s="227">
        <f t="shared" si="9"/>
        <v>0</v>
      </c>
      <c r="BB29" s="89"/>
    </row>
    <row r="30" spans="1:54" ht="23.25" x14ac:dyDescent="0.35">
      <c r="A30" s="228">
        <f t="shared" si="10"/>
        <v>0</v>
      </c>
      <c r="B30" s="228">
        <f>(SUM(C30:K30))</f>
        <v>0</v>
      </c>
      <c r="C30" s="227">
        <f>599*C16/100</f>
        <v>0</v>
      </c>
      <c r="D30" s="227">
        <f t="shared" ref="D30:Z30" si="21">599*D16/100</f>
        <v>0</v>
      </c>
      <c r="E30" s="227">
        <f t="shared" si="21"/>
        <v>0</v>
      </c>
      <c r="F30" s="227">
        <f t="shared" si="21"/>
        <v>0</v>
      </c>
      <c r="G30" s="227">
        <f t="shared" si="21"/>
        <v>0</v>
      </c>
      <c r="H30" s="227">
        <f t="shared" si="21"/>
        <v>0</v>
      </c>
      <c r="I30" s="227">
        <f t="shared" si="21"/>
        <v>0</v>
      </c>
      <c r="J30" s="227">
        <f t="shared" si="21"/>
        <v>0</v>
      </c>
      <c r="K30" s="227">
        <f t="shared" si="21"/>
        <v>0</v>
      </c>
      <c r="L30" s="227">
        <f t="shared" si="21"/>
        <v>0</v>
      </c>
      <c r="M30" s="227">
        <f t="shared" si="21"/>
        <v>0</v>
      </c>
      <c r="N30" s="227">
        <f t="shared" si="21"/>
        <v>0</v>
      </c>
      <c r="O30" s="227">
        <f t="shared" si="21"/>
        <v>0</v>
      </c>
      <c r="P30" s="227">
        <f t="shared" si="21"/>
        <v>0</v>
      </c>
      <c r="Q30" s="227">
        <f t="shared" si="21"/>
        <v>0</v>
      </c>
      <c r="R30" s="227">
        <f t="shared" si="21"/>
        <v>0</v>
      </c>
      <c r="S30" s="227">
        <f t="shared" si="21"/>
        <v>0</v>
      </c>
      <c r="T30" s="227">
        <f t="shared" si="21"/>
        <v>0</v>
      </c>
      <c r="U30" s="227">
        <f t="shared" si="21"/>
        <v>0</v>
      </c>
      <c r="V30" s="227">
        <f t="shared" si="21"/>
        <v>0</v>
      </c>
      <c r="W30" s="227">
        <f t="shared" si="21"/>
        <v>0</v>
      </c>
      <c r="X30" s="227">
        <f t="shared" si="21"/>
        <v>0</v>
      </c>
      <c r="Y30" s="227">
        <f t="shared" si="21"/>
        <v>0</v>
      </c>
      <c r="Z30" s="227">
        <f t="shared" si="21"/>
        <v>0</v>
      </c>
      <c r="AA30" s="227">
        <f t="shared" si="9"/>
        <v>0</v>
      </c>
      <c r="BB30" s="89"/>
    </row>
    <row r="31" spans="1:54" ht="21" x14ac:dyDescent="0.35">
      <c r="BB31" s="89"/>
    </row>
    <row r="32" spans="1:54" ht="26.25" x14ac:dyDescent="0.4">
      <c r="C32" s="287">
        <v>5</v>
      </c>
      <c r="D32" s="287"/>
      <c r="E32" s="287"/>
      <c r="F32" s="287"/>
      <c r="G32" s="287">
        <v>72</v>
      </c>
      <c r="H32" s="287"/>
      <c r="I32" s="287"/>
      <c r="J32" s="287"/>
      <c r="K32" s="287"/>
      <c r="L32" s="89">
        <v>4</v>
      </c>
      <c r="M32" s="89"/>
      <c r="N32" s="89">
        <v>144</v>
      </c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BB32" s="89"/>
    </row>
    <row r="33" spans="1:54" ht="21" x14ac:dyDescent="0.35">
      <c r="C33" s="194">
        <f t="shared" ref="C33:Z33" si="22">C32*100/599</f>
        <v>0.8347245409015025</v>
      </c>
      <c r="D33" s="194">
        <f t="shared" si="22"/>
        <v>0</v>
      </c>
      <c r="E33" s="194">
        <f t="shared" si="22"/>
        <v>0</v>
      </c>
      <c r="F33" s="194">
        <f t="shared" si="22"/>
        <v>0</v>
      </c>
      <c r="G33" s="194">
        <f t="shared" si="22"/>
        <v>12.020033388981636</v>
      </c>
      <c r="H33" s="194">
        <f t="shared" si="22"/>
        <v>0</v>
      </c>
      <c r="I33" s="194">
        <f t="shared" si="22"/>
        <v>0</v>
      </c>
      <c r="J33" s="194">
        <f t="shared" si="22"/>
        <v>0</v>
      </c>
      <c r="K33" s="194">
        <f t="shared" si="22"/>
        <v>0</v>
      </c>
      <c r="L33" s="194">
        <f t="shared" si="22"/>
        <v>0.667779632721202</v>
      </c>
      <c r="M33" s="194">
        <f t="shared" si="22"/>
        <v>0</v>
      </c>
      <c r="N33" s="194">
        <f t="shared" si="22"/>
        <v>24.040066777963272</v>
      </c>
      <c r="O33" s="194">
        <f t="shared" si="22"/>
        <v>0</v>
      </c>
      <c r="P33" s="194">
        <f t="shared" si="22"/>
        <v>0</v>
      </c>
      <c r="Q33" s="194">
        <f t="shared" si="22"/>
        <v>0</v>
      </c>
      <c r="R33" s="194">
        <f t="shared" si="22"/>
        <v>0</v>
      </c>
      <c r="S33" s="194">
        <f t="shared" si="22"/>
        <v>0</v>
      </c>
      <c r="T33" s="194">
        <f t="shared" si="22"/>
        <v>0</v>
      </c>
      <c r="U33" s="194">
        <f t="shared" si="22"/>
        <v>0</v>
      </c>
      <c r="V33" s="194">
        <f t="shared" si="22"/>
        <v>0</v>
      </c>
      <c r="W33" s="194">
        <f t="shared" si="22"/>
        <v>0</v>
      </c>
      <c r="X33" s="194">
        <f t="shared" si="22"/>
        <v>0</v>
      </c>
      <c r="Y33" s="194">
        <f t="shared" si="22"/>
        <v>0</v>
      </c>
      <c r="Z33" s="194">
        <f t="shared" si="22"/>
        <v>0</v>
      </c>
      <c r="BB33" s="89"/>
    </row>
    <row r="34" spans="1:54" ht="21" x14ac:dyDescent="0.35">
      <c r="BB34" s="89"/>
    </row>
    <row r="35" spans="1:54" ht="21" x14ac:dyDescent="0.35">
      <c r="BB35" s="89"/>
    </row>
    <row r="37" spans="1:54" ht="21" x14ac:dyDescent="0.35">
      <c r="BB37" s="89"/>
    </row>
    <row r="38" spans="1:54" ht="21" x14ac:dyDescent="0.35">
      <c r="BB38" s="89"/>
    </row>
    <row r="39" spans="1:54" ht="21" x14ac:dyDescent="0.35">
      <c r="BB39" s="89"/>
    </row>
    <row r="40" spans="1:54" ht="21" x14ac:dyDescent="0.35">
      <c r="BB40" s="89"/>
    </row>
    <row r="43" spans="1:54" ht="28.5" x14ac:dyDescent="0.45">
      <c r="A43" s="271" t="s">
        <v>291</v>
      </c>
      <c r="B43" s="266" t="s">
        <v>14</v>
      </c>
      <c r="C43" s="266" t="s">
        <v>15</v>
      </c>
      <c r="D43" s="266" t="s">
        <v>8</v>
      </c>
      <c r="E43" s="266" t="s">
        <v>9</v>
      </c>
      <c r="F43" s="266" t="s">
        <v>234</v>
      </c>
      <c r="G43" s="266" t="s">
        <v>56</v>
      </c>
      <c r="H43" s="266" t="s">
        <v>57</v>
      </c>
      <c r="I43" s="266" t="s">
        <v>58</v>
      </c>
      <c r="J43" s="266" t="s">
        <v>77</v>
      </c>
      <c r="K43" s="267" t="s">
        <v>204</v>
      </c>
      <c r="L43" s="266" t="s">
        <v>16</v>
      </c>
      <c r="M43" s="266" t="s">
        <v>13</v>
      </c>
      <c r="N43" s="266" t="s">
        <v>44</v>
      </c>
      <c r="O43" s="266" t="s">
        <v>55</v>
      </c>
      <c r="P43" s="266" t="s">
        <v>17</v>
      </c>
      <c r="Q43" s="266" t="s">
        <v>80</v>
      </c>
      <c r="R43" s="266" t="s">
        <v>81</v>
      </c>
      <c r="S43" s="266" t="s">
        <v>82</v>
      </c>
      <c r="T43" s="266" t="s">
        <v>83</v>
      </c>
      <c r="U43" s="266" t="s">
        <v>45</v>
      </c>
      <c r="V43" s="266" t="s">
        <v>43</v>
      </c>
      <c r="W43" s="266" t="s">
        <v>12</v>
      </c>
      <c r="X43" s="266" t="s">
        <v>0</v>
      </c>
      <c r="Y43" s="266" t="s">
        <v>11</v>
      </c>
      <c r="Z43" s="266" t="s">
        <v>10</v>
      </c>
      <c r="AA43" s="266" t="s">
        <v>14</v>
      </c>
      <c r="AB43" s="266" t="s">
        <v>15</v>
      </c>
      <c r="AC43" s="266" t="s">
        <v>8</v>
      </c>
      <c r="AD43" s="266" t="s">
        <v>9</v>
      </c>
      <c r="AE43" s="266" t="s">
        <v>234</v>
      </c>
      <c r="AF43" s="266" t="s">
        <v>56</v>
      </c>
      <c r="AG43" s="266" t="s">
        <v>57</v>
      </c>
      <c r="AH43" s="266" t="s">
        <v>58</v>
      </c>
      <c r="AI43" s="266" t="s">
        <v>77</v>
      </c>
      <c r="AJ43" s="267" t="s">
        <v>204</v>
      </c>
      <c r="AK43" s="266" t="s">
        <v>16</v>
      </c>
      <c r="AL43" s="266" t="s">
        <v>13</v>
      </c>
      <c r="AM43" s="266" t="s">
        <v>44</v>
      </c>
      <c r="AN43" s="266" t="s">
        <v>55</v>
      </c>
      <c r="AO43" s="266" t="s">
        <v>17</v>
      </c>
      <c r="AP43" s="266" t="s">
        <v>80</v>
      </c>
      <c r="AQ43" s="266" t="s">
        <v>81</v>
      </c>
      <c r="AR43" s="266" t="s">
        <v>82</v>
      </c>
      <c r="AS43" s="266" t="s">
        <v>83</v>
      </c>
      <c r="AT43" s="266" t="s">
        <v>45</v>
      </c>
      <c r="AU43" s="266" t="s">
        <v>43</v>
      </c>
      <c r="AV43" s="266" t="s">
        <v>12</v>
      </c>
      <c r="AW43" s="266" t="s">
        <v>0</v>
      </c>
      <c r="AX43" s="266" t="s">
        <v>11</v>
      </c>
      <c r="AY43" s="266" t="s">
        <v>10</v>
      </c>
      <c r="BB43" s="89"/>
    </row>
    <row r="44" spans="1:54" ht="21" x14ac:dyDescent="0.35">
      <c r="A44" s="272" t="s">
        <v>289</v>
      </c>
      <c r="B44" s="139">
        <f>100-C44-D44-E44-F44-G44-H44-I44-J44-K44-L44-M44-N44-O44-P44-Q44-R44-S44-T44-U44-V44-W44-X44-Y44-Z44</f>
        <v>97.090500000000006</v>
      </c>
      <c r="C44" s="177">
        <v>0.25</v>
      </c>
      <c r="D44" s="177">
        <v>0.9</v>
      </c>
      <c r="E44" s="177"/>
      <c r="F44" s="177"/>
      <c r="G44" s="177">
        <v>0.15049999999999999</v>
      </c>
      <c r="H44" s="177">
        <v>5.0000000000000001E-3</v>
      </c>
      <c r="I44" s="177">
        <v>1E-3</v>
      </c>
      <c r="J44" s="177"/>
      <c r="K44" s="177">
        <v>3.0000000000000001E-3</v>
      </c>
      <c r="L44" s="177">
        <v>0.5</v>
      </c>
      <c r="M44" s="177"/>
      <c r="N44" s="177">
        <v>0.8</v>
      </c>
      <c r="O44" s="177">
        <v>0.3</v>
      </c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89">
        <v>55.84</v>
      </c>
      <c r="AB44" s="89">
        <v>28.0855</v>
      </c>
      <c r="AC44" s="89">
        <v>58.693399999999997</v>
      </c>
      <c r="AD44" s="89">
        <v>63.545999999999999</v>
      </c>
      <c r="AE44" s="89">
        <v>65.38</v>
      </c>
      <c r="AF44" s="89">
        <v>12.01</v>
      </c>
      <c r="AG44" s="89">
        <v>30.973762000000001</v>
      </c>
      <c r="AH44" s="89">
        <v>32.064999999999998</v>
      </c>
      <c r="AI44" s="89">
        <v>14.0067</v>
      </c>
      <c r="AJ44" s="89">
        <v>10.81</v>
      </c>
      <c r="AK44" s="89">
        <v>54.938043999999998</v>
      </c>
      <c r="AL44" s="89">
        <v>24.305</v>
      </c>
      <c r="AM44" s="89">
        <v>51.996099999999998</v>
      </c>
      <c r="AN44" s="89">
        <v>95.95</v>
      </c>
      <c r="AO44" s="89">
        <v>47.866999999999997</v>
      </c>
      <c r="AP44" s="89">
        <v>50.941499999999998</v>
      </c>
      <c r="AQ44" s="89">
        <v>92.906369999999995</v>
      </c>
      <c r="AR44" s="89">
        <v>183.84</v>
      </c>
      <c r="AS44" s="89">
        <v>180.94788</v>
      </c>
      <c r="AT44" s="89">
        <v>91.224000000000004</v>
      </c>
      <c r="AU44" s="89">
        <v>58.933194999999998</v>
      </c>
      <c r="AV44" s="89">
        <v>26.981539999999999</v>
      </c>
      <c r="AW44" s="89">
        <v>121.76</v>
      </c>
      <c r="AX44" s="89">
        <v>207.2</v>
      </c>
      <c r="AY44" s="89">
        <v>118.71</v>
      </c>
      <c r="BB44" s="89"/>
    </row>
    <row r="45" spans="1:54" ht="21" x14ac:dyDescent="0.35">
      <c r="A45" s="89" t="s">
        <v>241</v>
      </c>
      <c r="B45" s="139">
        <f>100*((((B44)/(AA44))/(((B44)/(AA44))+((C44)/(AB44))+((D44)/(AC44))+((E44)/(AD44))+((F44)/(AE44))+((G44)/(AF44))+((H44)/(AG44))+((I44)/(AH44))+((J44)/(AI44))+((K44)/(AJ44))+((L44)/(AK44))+((M44)/(AL44))+((N44)/(AM44))+((O44)/(AN44))+((P44)/(AO44))+((Q44)/(AP44))+((R44)/(AQ44))+((S44)/(AR44))+((T44)/(AS44))+((U44)/(AT44))+((V44)/(AU44))+((W44)/(AV44))+((X44)/(AW44))+((Y44)/(AX44))+((Z44)/(AY44)))))</f>
        <v>96.404354712331383</v>
      </c>
      <c r="C45" s="139">
        <f>100*((((C44)/(AB44))/(((B44)/(AA44))+((C44)/(AB44))+((D44)/(AC44))+((E44)/(AD44))+((F44)/(AE44))+((G44)/(AF44))+((H44)/(AG44))+((I44)/(AH44))+((J44)/(AI44))+((K44)/(AJ44))+((L44)/(AK44))+((M44)/(AL44))+((N44)/(AM44))+((O44)/(AN44))+((P44)/(AO44))+((Q44)/(AP44))+((R44)/(AQ44))+((S44)/(AR44))+((T44)/(AS44))+((U44)/(AT44))+((V44)/(AU44))+((W44)/(AV44))+((X44)/(AW44))+((Y44)/(AX44))+((Z44)/(AY44)))))</f>
        <v>0.49354092728191856</v>
      </c>
      <c r="D45" s="139">
        <f>100*((((D44)/(AC44))/(((B44)/(AA44))+((C44)/(AB44))+((D44)/(AC44))+((E44)/(AD44))+((F44)/(AE44))+((G44)/(AF44))+((H44)/(AG44))+((I44)/(AH44))+((J44)/(AI44))+((K44)/(AJ44))+((L44)/(AK44))+((M44)/(AL44))+((N44)/(AM44))+((O44)/(AN44))+((P44)/(AO44))+((Q44)/(AP44))+((R44)/(AQ44))+((S44)/(AR44))+((T44)/(AS44))+((U44)/(AT44))+((V44)/(AU44))+((W44)/(AV44))+((X44)/(AW44))+((Y44)/(AX44))+((Z44)/(AY44)))))</f>
        <v>0.85019503670659347</v>
      </c>
      <c r="E45" s="139">
        <f>100*((((E44)/(AD44))/(((B44)/(AA44))+((C44)/(AB44))+((D44)/(AC44))+((E44)/(AD44))+((F44)/(AE44))+((G44)/(AF44))+((H44)/(AG44))+((I44)/(AH44))+((J44)/(AI44))+((K44)/(AJ44))+((L44)/(AK44))+((M44)/(AL44))+((N44)/(AM44))+((O44)/(AN44))+((P44)/(AO44))+((Q44)/(AP44))+((R44)/(AQ44))+((S44)/(AR44))+((T44)/(AS44))+((U44)/(AT44))+((V44)/(AU44))+((W44)/(AV44))+((X44)/(AW44))+((Y44)/(AX44))+((Z44)/(AY44)))))</f>
        <v>0</v>
      </c>
      <c r="F45" s="139">
        <f>100*((((F44)/(AE44))/(((B44)/(AA44))+((C44)/(AB44))+((D44)/(AC44))+((E44)/(AD44))+((F44)/(AE44))+((G44)/(AF44))+((H44)/(AG44))+((I44)/(AH44))+((J44)/(AI44))+((K44)/(AJ44))+((L44)/(AK44))+((M44)/(AL44))+((N44)/(AM44))+((O44)/(AN44))+((P44)/(AO44))+((Q44)/(AP44))+((R44)/(AQ44))+((S44)/(AR44))+((T44)/(AS44))+((U44)/(AT44))+((V44)/(AU44))+((W44)/(AV44))+((X44)/(AW44))+((Y44)/(AX44))+((Z44)/(AY44)))))</f>
        <v>0</v>
      </c>
      <c r="G45" s="139">
        <f>100*((((G44)/(AF44))/(((B44)/(AA44))+((C44)/(AB44))+((D44)/(AC44))+((E44)/(AD44))+((F44)/(AE44))+((G44)/(AF44))+((H44)/(AG44))+((I44)/(AH44))+((J44)/(AI44))+((K44)/(AJ44))+((L44)/(AK44))+((M44)/(AL44))+((N44)/(AM44))+((O44)/(AN44))+((P44)/(AO44))+((Q44)/(AP44))+((R44)/(AQ44))+((S44)/(AR44))+((T44)/(AS44))+((U44)/(AT44))+((V44)/(AU44))+((W44)/(AV44))+((X44)/(AW44))+((Y44)/(AX44))+((Z44)/(AY44)))))</f>
        <v>0.69479841093523287</v>
      </c>
      <c r="H45" s="139">
        <f>100*((((H44)/(AG44))/(((B44)/(AA44))+((C44)/(AB44))+((D44)/(AC44))+((E44)/(AD44))+((F44)/(AE44))+((G44)/(AF44))+((H44)/(AG44))+((I44)/(AH44))+((J44)/(AI44))+((K44)/(AJ44))+((L44)/(AK44))+((M44)/(AL44))+((N44)/(AM44))+((O44)/(AN44))+((P44)/(AO44))+((Q44)/(AP44))+((R44)/(AQ44))+((S44)/(AR44))+((T44)/(AS44))+((U44)/(AT44))+((V44)/(AU44))+((W44)/(AV44))+((X44)/(AW44))+((Y44)/(AX44))+((Z44)/(AY44)))))</f>
        <v>8.9503778799464688E-3</v>
      </c>
      <c r="I45" s="139">
        <f>100*((((I44)/(AH44))/(((B44)/(AA44))+((C44)/(AB44))+((D44)/(AC44))+((E44)/(AD44))+((F44)/(AE44))+((G44)/(AF44))+((H44)/(AG44))+((I44)/(AH44))+((J44)/(AI44))+((K44)/(AJ44))+((L44)/(AK44))+((M44)/(AL44))+((N44)/(AM44))+((O44)/(AN44))+((P44)/(AO44))+((Q44)/(AP44))+((R44)/(AQ44))+((S44)/(AR44))+((T44)/(AS44))+((U44)/(AT44))+((V44)/(AU44))+((W44)/(AV44))+((X44)/(AW44))+((Y44)/(AX44))+((Z44)/(AY44)))))</f>
        <v>1.7291556168004148E-3</v>
      </c>
      <c r="J45" s="139">
        <f>100*((((J44)/(AI44))/(((B44)/(AA44))+((C44)/(AB44))+((D44)/(AC44))+((E44)/(AD44))+((F44)/(AE44))+((G44)/(AF44))+((H44)/(AG44))+((I44)/(AH44))+((J44)/(AI44))+((K44)/(AJ44))+((L44)/(AK44))+((M44)/(AL44))+((N44)/(AM44))+((O44)/(AN44))+((P44)/(AO44))+((Q44)/(AP44))+((R44)/(AQ44))+((S44)/(AR44))+((T44)/(AS44))+((U44)/(AT44))+((V44)/(AU44))+((W44)/(AV44))+((X44)/(AW44))+((Y44)/(AX44))+((Z44)/(AY44)))))</f>
        <v>0</v>
      </c>
      <c r="K45" s="139">
        <f>100*((((K44)/(AJ44))/(((B44)/(AA44))+((C44)/(AB44))+((D44)/(AC44))+((E44)/(AD44))+((F44)/(AE44))+((G44)/(AF44))+((H44)/(AG44))+((I44)/(AH44))+((J44)/(AI44))+((K44)/(AJ44))+((L44)/(AK44))+((M44)/(AL44))+((N44)/(AM44))+((O44)/(AN44))+((P44)/(AO44))+((Q44)/(AP44))+((R44)/(AQ44))+((S44)/(AR44))+((T44)/(AS44))+((U44)/(AT44))+((V44)/(AU44))+((W44)/(AV44))+((X44)/(AW44))+((Y44)/(AX44))+((Z44)/(AY44)))))</f>
        <v>1.53872455650431E-2</v>
      </c>
      <c r="L45" s="139">
        <f>100*((((L44)/(AK44))/(((B44)/(AA44))+((C44)/(AB44))+((D44)/(AC44))+((E44)/(AD44))+((F44)/(AE44))+((G44)/(AF44))+((H44)/(AG44))+((I44)/(AH44))+((J44)/(AI44))+((K44)/(AJ44))+((L44)/(AK44))+((M44)/(AL44))+((N44)/(AM44))+((O44)/(AN44))+((P44)/(AO44))+((Q44)/(AP44))+((R44)/(AQ44))+((S44)/(AR44))+((T44)/(AS44))+((U44)/(AT44))+((V44)/(AU44))+((W44)/(AV44))+((X44)/(AW44))+((Y44)/(AX44))+((Z44)/(AY44)))))</f>
        <v>0.50461729992339466</v>
      </c>
      <c r="M45" s="139">
        <f>100*((((M44)/(AL44))/(((B44)/(AA44))+((C44)/(AB44))+((D44)/(AC44))+((E44)/(AD44))+((F44)/(AE44))+((G44)/(AF44))+((H44)/(AG44))+((I44)/(AH44))+((J44)/(AI44))+((K44)/(AJ44))+((L44)/(AK44))+((M44)/(AL44))+((N44)/(AM44))+((O44)/(AN44))+((P44)/(AO44))+((Q44)/(AP44))+((R44)/(AQ44))+((S44)/(AR44))+((T44)/(AS44))+((U44)/(AT44))+((V44)/(AU44))+((W44)/(AV44))+((X44)/(AW44))+((Y44)/(AX44))+((Z44)/(AY44)))))</f>
        <v>0</v>
      </c>
      <c r="N45" s="139">
        <f>100*((((N44)/(AM44))/(((B44)/(AA44))+((C44)/(AB44))+((D44)/(AC44))+((E44)/(AD44))+((F44)/(AE44))+((G44)/(AF44))+((H44)/(AG44))+((I44)/(AH44))+((J44)/(AI44))+((K44)/(AJ44))+((L44)/(AK44))+((M44)/(AL44))+((N44)/(AM44))+((O44)/(AN44))+((P44)/(AO44))+((Q44)/(AP44))+((R44)/(AQ44))+((S44)/(AR44))+((T44)/(AS44))+((U44)/(AT44))+((V44)/(AU44))+((W44)/(AV44))+((X44)/(AW44))+((Y44)/(AX44))+((Z44)/(AY44)))))</f>
        <v>0.8530697471957368</v>
      </c>
      <c r="O45" s="139">
        <f>100*((((O44)/(AN44))/(((B44)/(AA44))+((C44)/(AB44))+((D44)/(AC44))+((E44)/(AD44))+((F44)/(AE44))+((G44)/(AF44))+((H44)/(AG44))+((I44)/(AH44))+((J44)/(AI44))+((K44)/(AJ44))+((L44)/(AK44))+((M44)/(AL44))+((N44)/(AM44))+((O44)/(AN44))+((P44)/(AO44))+((Q44)/(AP44))+((R44)/(AQ44))+((S44)/(AR44))+((T44)/(AS44))+((U44)/(AT44))+((V44)/(AU44))+((W44)/(AV44))+((X44)/(AW44))+((Y44)/(AX44))+((Z44)/(AY44)))))</f>
        <v>0.17335708656395613</v>
      </c>
      <c r="P45" s="139">
        <f>100*((((P44)/(AO44))/(((B44)/(AA44))+((C44)/(AB44))+((D44)/(AC44))+((E44)/(AD44))+((F44)/(AE44))+((G44)/(AF44))+((H44)/(AG44))+((I44)/(AH44))+((J44)/(AI44))+((K44)/(AJ44))+((L44)/(AK44))+((M44)/(AL44))+((N44)/(AM44))+((O44)/(AN44))+((P44)/(AO44))+((Q44)/(AP44))+((R44)/(AQ44))+((S44)/(AR44))+((T44)/(AS44))+((U44)/(AT44))+((V44)/(AU44))+((W44)/(AV44))+((X44)/(AW44))+((Y44)/(AX44))+((Z44)/(AY44)))))</f>
        <v>0</v>
      </c>
      <c r="Q45" s="139">
        <f>100*((((Q44)/(AP44))/(((B44)/(AA44))+((C44)/(AB44))+((D44)/(AC44))+((E44)/(AD44))+((F44)/(AE44))+((G44)/(AF44))+((H44)/(AG44))+((I44)/(AH44))+((J44)/(AI44))+((K44)/(AJ44))+((L44)/(AK44))+((M44)/(AL44))+((N44)/(AM44))+((O44)/(AN44))+((P44)/(AO44))+((Q44)/(AP44))+((R44)/(AQ44))+((S44)/(AR44))+((T44)/(AS44))+((U44)/(AT44))+((V44)/(AU44))+((W44)/(AV44))+((X44)/(AW44))+((Y44)/(AX44))+((Z44)/(AY44)))))</f>
        <v>0</v>
      </c>
      <c r="R45" s="139">
        <f>100*((((R44)/(AQ44))/(((B44)/(AA44))+((C44)/(AB44))+((D44)/(AC44))+((E44)/(AD44))+((F44)/(AE44))+((G44)/(AF44))+((H44)/(AG44))+((I44)/(AH44))+((J44)/(AI44))+((K44)/(AJ44))+((L44)/(AK44))+((M44)/(AL44))+((N44)/(AM44))+((O44)/(AN44))+((P44)/(AO44))+((Q44)/(AP44))+((R44)/(AQ44))+((S44)/(AR44))+((T44)/(AS44))+((U44)/(AT44))+((V44)/(AU44))+((W44)/(AV44))+((X44)/(AW44))+((Y44)/(AX44))+((Z44)/(AY44)))))</f>
        <v>0</v>
      </c>
      <c r="S45" s="139">
        <f>100*((((S44)/(AR44))/(((B44)/(AA44))+((C44)/(AB44))+((D44)/(AC44))+((E44)/(AD44))+((F44)/(AE44))+((G44)/(AF44))+((H44)/(AG44))+((I44)/(AH44))+((J44)/(AI44))+((K44)/(AJ44))+((L44)/(AK44))+((M44)/(AL44))+((N44)/(AM44))+((O44)/(AN44))+((P44)/(AO44))+((Q44)/(AP44))+((R44)/(AQ44))+((S44)/(AR44))+((T44)/(AS44))+((U44)/(AT44))+((V44)/(AU44))+((W44)/(AV44))+((X44)/(AW44))+((Y44)/(AX44))+((Z44)/(AY44)))))</f>
        <v>0</v>
      </c>
      <c r="T45" s="139">
        <f>100*((((T44)/(AS44))/(((B44)/(AA44))+((C44)/(AB44))+((D44)/(AC44))+((E44)/(AD44))+((F44)/(AE44))+((G44)/(AF44))+((H44)/(AG44))+((I44)/(AH44))+((J44)/(AI44))+((K44)/(AJ44))+((L44)/(AK44))+((M44)/(AL44))+((N44)/(AM44))+((O44)/(AN44))+((P44)/(AO44))+((Q44)/(AP44))+((R44)/(AQ44))+((S44)/(AR44))+((T44)/(AS44))+((U44)/(AT44))+((V44)/(AU44))+((W44)/(AV44))+((X44)/(AW44))+((Y44)/(AX44))+((Z44)/(AY44)))))</f>
        <v>0</v>
      </c>
      <c r="U45" s="139">
        <f>100*((((U44)/(AT44))/(((B44)/(AA44))+((C44)/(AB44))+((D44)/(AC44))+((E44)/(AD44))+((F44)/(AE44))+((G44)/(AF44))+((H44)/(AG44))+((I44)/(AH44))+((J44)/(AI44))+((K44)/(AJ44))+((L44)/(AK44))+((M44)/(AL44))+((N44)/(AM44))+((O44)/(AN44))+((P44)/(AO44))+((Q44)/(AP44))+((R44)/(AQ44))+((S44)/(AR44))+((T44)/(AS44))+((U44)/(AT44))+((V44)/(AU44))+((W44)/(AV44))+((X44)/(AW44))+((Y44)/(AX44))+((Z44)/(AY44)))))</f>
        <v>0</v>
      </c>
      <c r="V45" s="139">
        <f>100*((((V44)/(AU44))/(((B44)/(AA44))+((C44)/(AB44))+((D44)/(AC44))+((E44)/(AD44))+((F44)/(AE44))+((G44)/(AF44))+((H44)/(AG44))+((I44)/(AH44))+((J44)/(AI44))+((K44)/(AJ44))+((L44)/(AK44))+((M44)/(AL44))+((N44)/(AM44))+((O44)/(AN44))+((P44)/(AO44))+((Q44)/(AP44))+((R44)/(AQ44))+((S44)/(AR44))+((T44)/(AS44))+((U44)/(AT44))+((V44)/(AU44))+((W44)/(AV44))+((X44)/(AW44))+((Y44)/(AX44))+((Z44)/(AY44)))))</f>
        <v>0</v>
      </c>
      <c r="W45" s="139">
        <f>100*((((W44)/(AV44))/(((B44)/(AA44))+((C44)/(AB44))+((D44)/(AC44))+((E44)/(AD44))+((F44)/(AE44))+((G44)/(AF44))+((H44)/(AG44))+((I44)/(AH44))+((J44)/(AI44))+((K44)/(AJ44))+((L44)/(AK44))+((M44)/(AL44))+((N44)/(AM44))+((O44)/(AN44))+((P44)/(AO44))+((Q44)/(AP44))+((R44)/(AQ44))+((S44)/(AR44))+((T44)/(AS44))+((U44)/(AT44))+((V44)/(AU44))+((W44)/(AV44))+((X44)/(AW44))+((Y44)/(AX44))+((Z44)/(AY44)))))</f>
        <v>0</v>
      </c>
      <c r="X45" s="89">
        <f>100*((((X44)/(AW44))/(((B44)/(AA44))+((C44)/(AB44))+((D44)/(AC44))+((E44)/(AD44))+((F44)/(AE44))+((G44)/(AF44))+((H44)/(AG44))+((I44)/(AH44))+((J44)/(AI44))+((K44)/(AJ44))+((L44)/(AK44))+((M44)/(AL44))+((N44)/(AM44))+((O44)/(AN44))+((P44)/(AO44))+((Q44)/(AP44))+((R44)/(AQ44))+((S44)/(AR44))+((T44)/(AS44))+((U44)/(AT44))+((V44)/(AU44))+((W44)/(AV44))+((X44)/(AW44))+((Y44)/(AX44))+((Z44)/(AY44)))))</f>
        <v>0</v>
      </c>
      <c r="Y45" s="89">
        <f>100*((((Y44)/(AX44))/(((B44)/(AA44))+((C44)/(AB44))+((D44)/(AC44))+((E44)/(AD44))+((F44)/(AE44))+((G44)/(AF44))+((H44)/(AG44))+((I44)/(AH44))+((J44)/(AI44))+((K44)/(AJ44))+((L44)/(AK44))+((M44)/(AL44))+((N44)/(AM44))+((O44)/(AN44))+((P44)/(AO44))+((Q44)/(AP44))+((R44)/(AQ44))+((S44)/(AR44))+((T44)/(AS44))+((U44)/(AT44))+((V44)/(AU44))+((W44)/(AV44))+((X44)/(AW44))+((Y44)/(AX44))+((Z44)/(AY44)))))</f>
        <v>0</v>
      </c>
      <c r="Z45" s="89">
        <f>100*((((Z44)/(AY44))/(((B44)/(AA44))+((C44)/(AB44))+((D44)/(AC44))+((E44)/(AD44))+((F44)/(AE44))+((G44)/(AF44))+((H44)/(AG44))+((I44)/(AH44))+((J44)/(AI44))+((K44)/(AJ44))+((L44)/(AK44))+((M44)/(AL44))+((N44)/(AM44))+((O44)/(AN44))+((P44)/(AO44))+((Q44)/(AP44))+((R44)/(AQ44))+((S44)/(AR44))+((T44)/(AS44))+((U44)/(AT44))+((V44)/(AU44))+((W44)/(AV44))+((X44)/(AW44))+((Y44)/(AX44))+((Z44)/(AY44)))))</f>
        <v>0</v>
      </c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BB45" s="89"/>
    </row>
    <row r="46" spans="1:54" ht="21" x14ac:dyDescent="0.35">
      <c r="A46" s="89">
        <f>599-B46</f>
        <v>21.537915273135013</v>
      </c>
      <c r="B46" s="89">
        <f>599*B45/100</f>
        <v>577.46208472686499</v>
      </c>
      <c r="C46" s="89">
        <f>599*C45/100</f>
        <v>2.9563101544186923</v>
      </c>
      <c r="D46" s="89">
        <f t="shared" ref="D46:Z46" si="23">599*D45/100</f>
        <v>5.0926682698724948</v>
      </c>
      <c r="E46" s="89">
        <f t="shared" si="23"/>
        <v>0</v>
      </c>
      <c r="F46" s="89">
        <f t="shared" si="23"/>
        <v>0</v>
      </c>
      <c r="G46" s="89">
        <f t="shared" si="23"/>
        <v>4.1618424815020454</v>
      </c>
      <c r="H46" s="89">
        <f t="shared" si="23"/>
        <v>5.3612763500879346E-2</v>
      </c>
      <c r="I46" s="89">
        <f t="shared" si="23"/>
        <v>1.0357642144634485E-2</v>
      </c>
      <c r="J46" s="89">
        <f t="shared" si="23"/>
        <v>0</v>
      </c>
      <c r="K46" s="89">
        <f t="shared" si="23"/>
        <v>9.2169600934608159E-2</v>
      </c>
      <c r="L46" s="89">
        <f t="shared" si="23"/>
        <v>3.0226576265411342</v>
      </c>
      <c r="M46" s="89">
        <f t="shared" si="23"/>
        <v>0</v>
      </c>
      <c r="N46" s="89">
        <f t="shared" si="23"/>
        <v>5.1098877857024636</v>
      </c>
      <c r="O46" s="89">
        <f t="shared" si="23"/>
        <v>1.0384089485180972</v>
      </c>
      <c r="P46" s="89">
        <f t="shared" si="23"/>
        <v>0</v>
      </c>
      <c r="Q46" s="89">
        <f t="shared" si="23"/>
        <v>0</v>
      </c>
      <c r="R46" s="89">
        <f t="shared" si="23"/>
        <v>0</v>
      </c>
      <c r="S46" s="89">
        <f t="shared" si="23"/>
        <v>0</v>
      </c>
      <c r="T46" s="89">
        <f t="shared" si="23"/>
        <v>0</v>
      </c>
      <c r="U46" s="89">
        <f t="shared" si="23"/>
        <v>0</v>
      </c>
      <c r="V46" s="89">
        <f t="shared" si="23"/>
        <v>0</v>
      </c>
      <c r="W46" s="89">
        <f t="shared" si="23"/>
        <v>0</v>
      </c>
      <c r="X46" s="89">
        <f t="shared" si="23"/>
        <v>0</v>
      </c>
      <c r="Y46" s="89">
        <f t="shared" si="23"/>
        <v>0</v>
      </c>
      <c r="Z46" s="89">
        <f t="shared" si="23"/>
        <v>0</v>
      </c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BB46" s="89"/>
    </row>
    <row r="47" spans="1:54" ht="21" x14ac:dyDescent="0.35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R47" s="4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BB47" s="89"/>
    </row>
    <row r="48" spans="1:54" ht="21" x14ac:dyDescent="0.35">
      <c r="A48" s="89">
        <f>B48+C48+D48+E48+F48+G48+H48+I48+J48+K48+L48+M48+N48+O48+P48+Q48+R48+S48+T48+U48+V48+W48+X48+Y48+Z48</f>
        <v>21</v>
      </c>
      <c r="B48" s="89"/>
      <c r="C48" s="89">
        <v>3</v>
      </c>
      <c r="D48" s="89">
        <v>5</v>
      </c>
      <c r="E48" s="89"/>
      <c r="F48" s="89"/>
      <c r="G48" s="89">
        <v>4</v>
      </c>
      <c r="H48" s="89"/>
      <c r="I48" s="89"/>
      <c r="J48" s="89"/>
      <c r="K48" s="89"/>
      <c r="L48" s="89">
        <v>3</v>
      </c>
      <c r="M48" s="89"/>
      <c r="N48" s="89">
        <v>5</v>
      </c>
      <c r="O48" s="89">
        <v>1</v>
      </c>
      <c r="P48" s="89"/>
      <c r="R48" s="4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BB48" s="89"/>
    </row>
    <row r="49" spans="1:54" ht="21" x14ac:dyDescent="0.35">
      <c r="A49" s="89" t="s">
        <v>218</v>
      </c>
      <c r="B49" s="89">
        <f>K46+O46+U46+Q46+L46+M46+P46+N46</f>
        <v>9.2631239616963033</v>
      </c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R49" s="4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BB49" s="89"/>
    </row>
    <row r="50" spans="1:54" ht="21" x14ac:dyDescent="0.35">
      <c r="A50" s="89" t="s">
        <v>237</v>
      </c>
      <c r="B50" s="89">
        <f>C46+D46+G46+H46+I46+J46+E46+F46+K46</f>
        <v>12.366960912373356</v>
      </c>
      <c r="C50" s="89"/>
      <c r="D50" s="89"/>
      <c r="E50" s="89"/>
      <c r="F50" s="89"/>
      <c r="G50" s="89"/>
      <c r="H50" s="89"/>
      <c r="I50" s="89"/>
      <c r="J50" s="89"/>
      <c r="K50" s="89">
        <f>3-O48-U48</f>
        <v>2</v>
      </c>
      <c r="L50" s="89"/>
      <c r="M50" s="89"/>
      <c r="N50" s="89"/>
      <c r="O50" s="89"/>
      <c r="P50" s="89"/>
      <c r="R50" s="4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BB50" s="89"/>
    </row>
    <row r="51" spans="1:54" ht="21" x14ac:dyDescent="0.35">
      <c r="A51" s="89"/>
      <c r="B51" s="179">
        <f>B49+B50</f>
        <v>21.630084874069659</v>
      </c>
      <c r="C51" s="326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R51" s="4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BB51" s="89"/>
    </row>
    <row r="52" spans="1:54" ht="21" x14ac:dyDescent="0.35">
      <c r="BB52" s="89"/>
    </row>
    <row r="53" spans="1:54" ht="28.5" x14ac:dyDescent="0.45">
      <c r="A53" s="271" t="s">
        <v>292</v>
      </c>
      <c r="B53" s="266" t="s">
        <v>14</v>
      </c>
      <c r="C53" s="266" t="s">
        <v>15</v>
      </c>
      <c r="D53" s="266" t="s">
        <v>8</v>
      </c>
      <c r="E53" s="266" t="s">
        <v>9</v>
      </c>
      <c r="F53" s="266" t="s">
        <v>234</v>
      </c>
      <c r="G53" s="266" t="s">
        <v>56</v>
      </c>
      <c r="H53" s="266" t="s">
        <v>57</v>
      </c>
      <c r="I53" s="266" t="s">
        <v>58</v>
      </c>
      <c r="J53" s="266" t="s">
        <v>77</v>
      </c>
      <c r="K53" s="267" t="s">
        <v>204</v>
      </c>
      <c r="L53" s="266" t="s">
        <v>16</v>
      </c>
      <c r="M53" s="266" t="s">
        <v>13</v>
      </c>
      <c r="N53" s="266" t="s">
        <v>44</v>
      </c>
      <c r="O53" s="266" t="s">
        <v>55</v>
      </c>
      <c r="P53" s="266" t="s">
        <v>17</v>
      </c>
      <c r="Q53" s="266" t="s">
        <v>80</v>
      </c>
      <c r="R53" s="266" t="s">
        <v>81</v>
      </c>
      <c r="S53" s="266" t="s">
        <v>82</v>
      </c>
      <c r="T53" s="266" t="s">
        <v>83</v>
      </c>
      <c r="U53" s="266" t="s">
        <v>45</v>
      </c>
      <c r="V53" s="266" t="s">
        <v>43</v>
      </c>
      <c r="W53" s="266" t="s">
        <v>12</v>
      </c>
      <c r="X53" s="266" t="s">
        <v>0</v>
      </c>
      <c r="Y53" s="266" t="s">
        <v>11</v>
      </c>
      <c r="Z53" s="266" t="s">
        <v>10</v>
      </c>
      <c r="AA53" s="266" t="s">
        <v>14</v>
      </c>
      <c r="AB53" s="266" t="s">
        <v>15</v>
      </c>
      <c r="AC53" s="266" t="s">
        <v>8</v>
      </c>
      <c r="AD53" s="266" t="s">
        <v>9</v>
      </c>
      <c r="AE53" s="266" t="s">
        <v>234</v>
      </c>
      <c r="AF53" s="266" t="s">
        <v>56</v>
      </c>
      <c r="AG53" s="266" t="s">
        <v>57</v>
      </c>
      <c r="AH53" s="266" t="s">
        <v>58</v>
      </c>
      <c r="AI53" s="266" t="s">
        <v>77</v>
      </c>
      <c r="AJ53" s="267" t="s">
        <v>204</v>
      </c>
      <c r="AK53" s="266" t="s">
        <v>16</v>
      </c>
      <c r="AL53" s="266" t="s">
        <v>13</v>
      </c>
      <c r="AM53" s="266" t="s">
        <v>44</v>
      </c>
      <c r="AN53" s="266" t="s">
        <v>55</v>
      </c>
      <c r="AO53" s="266" t="s">
        <v>17</v>
      </c>
      <c r="AP53" s="266" t="s">
        <v>80</v>
      </c>
      <c r="AQ53" s="266" t="s">
        <v>81</v>
      </c>
      <c r="AR53" s="266" t="s">
        <v>82</v>
      </c>
      <c r="AS53" s="266" t="s">
        <v>83</v>
      </c>
      <c r="AT53" s="266" t="s">
        <v>45</v>
      </c>
      <c r="AU53" s="266" t="s">
        <v>43</v>
      </c>
      <c r="AV53" s="266" t="s">
        <v>12</v>
      </c>
      <c r="AW53" s="266" t="s">
        <v>0</v>
      </c>
      <c r="AX53" s="266" t="s">
        <v>11</v>
      </c>
      <c r="AY53" s="266" t="s">
        <v>10</v>
      </c>
      <c r="BB53" s="89"/>
    </row>
    <row r="54" spans="1:54" ht="21" x14ac:dyDescent="0.35">
      <c r="A54" s="272" t="s">
        <v>289</v>
      </c>
      <c r="B54" s="139">
        <f>100-C54-D54-E54-F54-G54-H54-I54-J54-K54-L54-M54-N54-O54-P54-Q54-R54-S54-T54-U54-V54-W54-X54-Y54-Z54</f>
        <v>96.572500000000005</v>
      </c>
      <c r="C54" s="177">
        <v>0.25</v>
      </c>
      <c r="D54" s="177">
        <v>1</v>
      </c>
      <c r="E54" s="177"/>
      <c r="F54" s="177"/>
      <c r="G54" s="177">
        <v>0.11</v>
      </c>
      <c r="H54" s="177">
        <v>1.4999999999999999E-2</v>
      </c>
      <c r="I54" s="177">
        <v>1E-3</v>
      </c>
      <c r="J54" s="177"/>
      <c r="K54" s="177">
        <v>1.5E-3</v>
      </c>
      <c r="L54" s="177">
        <v>0.75</v>
      </c>
      <c r="M54" s="177"/>
      <c r="N54" s="177">
        <v>1</v>
      </c>
      <c r="O54" s="177">
        <v>0.3</v>
      </c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89">
        <v>55.84</v>
      </c>
      <c r="AB54" s="89">
        <v>28.0855</v>
      </c>
      <c r="AC54" s="89">
        <v>58.693399999999997</v>
      </c>
      <c r="AD54" s="89">
        <v>63.545999999999999</v>
      </c>
      <c r="AE54" s="89">
        <v>65.38</v>
      </c>
      <c r="AF54" s="89">
        <v>12.01</v>
      </c>
      <c r="AG54" s="89">
        <v>30.973762000000001</v>
      </c>
      <c r="AH54" s="89">
        <v>32.064999999999998</v>
      </c>
      <c r="AI54" s="89">
        <v>14.0067</v>
      </c>
      <c r="AJ54" s="89">
        <v>10.81</v>
      </c>
      <c r="AK54" s="89">
        <v>54.938043999999998</v>
      </c>
      <c r="AL54" s="89">
        <v>24.305</v>
      </c>
      <c r="AM54" s="89">
        <v>51.996099999999998</v>
      </c>
      <c r="AN54" s="89">
        <v>95.95</v>
      </c>
      <c r="AO54" s="89">
        <v>47.866999999999997</v>
      </c>
      <c r="AP54" s="89">
        <v>50.941499999999998</v>
      </c>
      <c r="AQ54" s="89">
        <v>92.906369999999995</v>
      </c>
      <c r="AR54" s="89">
        <v>183.84</v>
      </c>
      <c r="AS54" s="89">
        <v>180.94788</v>
      </c>
      <c r="AT54" s="89">
        <v>91.224000000000004</v>
      </c>
      <c r="AU54" s="89">
        <v>58.933194999999998</v>
      </c>
      <c r="AV54" s="89">
        <v>26.981539999999999</v>
      </c>
      <c r="AW54" s="89">
        <v>121.76</v>
      </c>
      <c r="AX54" s="89">
        <v>207.2</v>
      </c>
      <c r="AY54" s="89">
        <v>118.71</v>
      </c>
      <c r="BB54" s="89"/>
    </row>
    <row r="55" spans="1:54" ht="21" x14ac:dyDescent="0.35">
      <c r="A55" s="89" t="s">
        <v>241</v>
      </c>
      <c r="B55" s="139">
        <f>100*((((B54)/(AA54))/(((B54)/(AA54))+((C54)/(AB54))+((D54)/(AC54))+((E54)/(AD54))+((F54)/(AE54))+((G54)/(AF54))+((H54)/(AG54))+((I54)/(AH54))+((J54)/(AI54))+((K54)/(AJ54))+((L54)/(AK54))+((M54)/(AL54))+((N54)/(AM54))+((O54)/(AN54))+((P54)/(AO54))+((Q54)/(AP54))+((R54)/(AQ54))+((S54)/(AR54))+((T54)/(AS54))+((U54)/(AT54))+((V54)/(AU54))+((W54)/(AV54))+((X54)/(AW54))+((Y54)/(AX54))+((Z54)/(AY54)))))</f>
        <v>96.015855998363449</v>
      </c>
      <c r="C55" s="139">
        <f>100*((((C54)/(AB54))/(((B54)/(AA54))+((C54)/(AB54))+((D54)/(AC54))+((E54)/(AD54))+((F54)/(AE54))+((G54)/(AF54))+((H54)/(AG54))+((I54)/(AH54))+((J54)/(AI54))+((K54)/(AJ54))+((L54)/(AK54))+((M54)/(AL54))+((N54)/(AM54))+((O54)/(AN54))+((P54)/(AO54))+((Q54)/(AP54))+((R54)/(AQ54))+((S54)/(AR54))+((T54)/(AS54))+((U54)/(AT54))+((V54)/(AU54))+((W54)/(AV54))+((X54)/(AW54))+((Y54)/(AX54))+((Z54)/(AY54)))))</f>
        <v>0.49418862202426239</v>
      </c>
      <c r="D55" s="139">
        <f>100*((((D54)/(AC54))/(((B54)/(AA54))+((C54)/(AB54))+((D54)/(AC54))+((E54)/(AD54))+((F54)/(AE54))+((G54)/(AF54))+((H54)/(AG54))+((I54)/(AH54))+((J54)/(AI54))+((K54)/(AJ54))+((L54)/(AK54))+((M54)/(AL54))+((N54)/(AM54))+((O54)/(AN54))+((P54)/(AO54))+((Q54)/(AP54))+((R54)/(AQ54))+((S54)/(AR54))+((T54)/(AS54))+((U54)/(AT54))+((V54)/(AU54))+((W54)/(AV54))+((X54)/(AW54))+((Y54)/(AX54))+((Z54)/(AY54)))))</f>
        <v>0.94590087088922592</v>
      </c>
      <c r="E55" s="139">
        <f>100*((((E54)/(AD54))/(((B54)/(AA54))+((C54)/(AB54))+((D54)/(AC54))+((E54)/(AD54))+((F54)/(AE54))+((G54)/(AF54))+((H54)/(AG54))+((I54)/(AH54))+((J54)/(AI54))+((K54)/(AJ54))+((L54)/(AK54))+((M54)/(AL54))+((N54)/(AM54))+((O54)/(AN54))+((P54)/(AO54))+((Q54)/(AP54))+((R54)/(AQ54))+((S54)/(AR54))+((T54)/(AS54))+((U54)/(AT54))+((V54)/(AU54))+((W54)/(AV54))+((X54)/(AW54))+((Y54)/(AX54))+((Z54)/(AY54)))))</f>
        <v>0</v>
      </c>
      <c r="F55" s="139">
        <f>100*((((F54)/(AE54))/(((B54)/(AA54))+((C54)/(AB54))+((D54)/(AC54))+((E54)/(AD54))+((F54)/(AE54))+((G54)/(AF54))+((H54)/(AG54))+((I54)/(AH54))+((J54)/(AI54))+((K54)/(AJ54))+((L54)/(AK54))+((M54)/(AL54))+((N54)/(AM54))+((O54)/(AN54))+((P54)/(AO54))+((Q54)/(AP54))+((R54)/(AQ54))+((S54)/(AR54))+((T54)/(AS54))+((U54)/(AT54))+((V54)/(AU54))+((W54)/(AV54))+((X54)/(AW54))+((Y54)/(AX54))+((Z54)/(AY54)))))</f>
        <v>0</v>
      </c>
      <c r="G55" s="139">
        <f>100*((((G54)/(AF54))/(((B54)/(AA54))+((C54)/(AB54))+((D54)/(AC54))+((E54)/(AD54))+((F54)/(AE54))+((G54)/(AF54))+((H54)/(AG54))+((I54)/(AH54))+((J54)/(AI54))+((K54)/(AJ54))+((L54)/(AK54))+((M54)/(AL54))+((N54)/(AM54))+((O54)/(AN54))+((P54)/(AO54))+((Q54)/(AP54))+((R54)/(AQ54))+((S54)/(AR54))+((T54)/(AS54))+((U54)/(AT54))+((V54)/(AU54))+((W54)/(AV54))+((X54)/(AW54))+((Y54)/(AX54))+((Z54)/(AY54)))))</f>
        <v>0.50849252283925617</v>
      </c>
      <c r="H55" s="139">
        <f>100*((((H54)/(AG54))/(((B54)/(AA54))+((C54)/(AB54))+((D54)/(AC54))+((E54)/(AD54))+((F54)/(AE54))+((G54)/(AF54))+((H54)/(AG54))+((I54)/(AH54))+((J54)/(AI54))+((K54)/(AJ54))+((L54)/(AK54))+((M54)/(AL54))+((N54)/(AM54))+((O54)/(AN54))+((P54)/(AO54))+((Q54)/(AP54))+((R54)/(AQ54))+((S54)/(AR54))+((T54)/(AS54))+((U54)/(AT54))+((V54)/(AU54))+((W54)/(AV54))+((X54)/(AW54))+((Y54)/(AX54))+((Z54)/(AY54)))))</f>
        <v>2.6886371524122425E-2</v>
      </c>
      <c r="I55" s="139">
        <f>100*((((I54)/(AH54))/(((B54)/(AA54))+((C54)/(AB54))+((D54)/(AC54))+((E54)/(AD54))+((F54)/(AE54))+((G54)/(AF54))+((H54)/(AG54))+((I54)/(AH54))+((J54)/(AI54))+((K54)/(AJ54))+((L54)/(AK54))+((M54)/(AL54))+((N54)/(AM54))+((O54)/(AN54))+((P54)/(AO54))+((Q54)/(AP54))+((R54)/(AQ54))+((S54)/(AR54))+((T54)/(AS54))+((U54)/(AT54))+((V54)/(AU54))+((W54)/(AV54))+((X54)/(AW54))+((Y54)/(AX54))+((Z54)/(AY54)))))</f>
        <v>1.7314248612334225E-3</v>
      </c>
      <c r="J55" s="139">
        <f>100*((((J54)/(AI54))/(((B54)/(AA54))+((C54)/(AB54))+((D54)/(AC54))+((E54)/(AD54))+((F54)/(AE54))+((G54)/(AF54))+((H54)/(AG54))+((I54)/(AH54))+((J54)/(AI54))+((K54)/(AJ54))+((L54)/(AK54))+((M54)/(AL54))+((N54)/(AM54))+((O54)/(AN54))+((P54)/(AO54))+((Q54)/(AP54))+((R54)/(AQ54))+((S54)/(AR54))+((T54)/(AS54))+((U54)/(AT54))+((V54)/(AU54))+((W54)/(AV54))+((X54)/(AW54))+((Y54)/(AX54))+((Z54)/(AY54)))))</f>
        <v>0</v>
      </c>
      <c r="K55" s="139">
        <f>100*((((K54)/(AJ54))/(((B54)/(AA54))+((C54)/(AB54))+((D54)/(AC54))+((E54)/(AD54))+((F54)/(AE54))+((G54)/(AF54))+((H54)/(AG54))+((I54)/(AH54))+((J54)/(AI54))+((K54)/(AJ54))+((L54)/(AK54))+((M54)/(AL54))+((N54)/(AM54))+((O54)/(AN54))+((P54)/(AO54))+((Q54)/(AP54))+((R54)/(AQ54))+((S54)/(AR54))+((T54)/(AS54))+((U54)/(AT54))+((V54)/(AU54))+((W54)/(AV54))+((X54)/(AW54))+((Y54)/(AX54))+((Z54)/(AY54)))))</f>
        <v>7.7037194508024539E-3</v>
      </c>
      <c r="L55" s="139">
        <f>100*((((L54)/(AK54))/(((B54)/(AA54))+((C54)/(AB54))+((D54)/(AC54))+((E54)/(AD54))+((F54)/(AE54))+((G54)/(AF54))+((H54)/(AG54))+((I54)/(AH54))+((J54)/(AI54))+((K54)/(AJ54))+((L54)/(AK54))+((M54)/(AL54))+((N54)/(AM54))+((O54)/(AN54))+((P54)/(AO54))+((Q54)/(AP54))+((R54)/(AQ54))+((S54)/(AR54))+((T54)/(AS54))+((U54)/(AT54))+((V54)/(AU54))+((W54)/(AV54))+((X54)/(AW54))+((Y54)/(AX54))+((Z54)/(AY54)))))</f>
        <v>0.75791929599072128</v>
      </c>
      <c r="M55" s="139">
        <f>100*((((M54)/(AL54))/(((B54)/(AA54))+((C54)/(AB54))+((D54)/(AC54))+((E54)/(AD54))+((F54)/(AE54))+((G54)/(AF54))+((H54)/(AG54))+((I54)/(AH54))+((J54)/(AI54))+((K54)/(AJ54))+((L54)/(AK54))+((M54)/(AL54))+((N54)/(AM54))+((O54)/(AN54))+((P54)/(AO54))+((Q54)/(AP54))+((R54)/(AQ54))+((S54)/(AR54))+((T54)/(AS54))+((U54)/(AT54))+((V54)/(AU54))+((W54)/(AV54))+((X54)/(AW54))+((Y54)/(AX54))+((Z54)/(AY54)))))</f>
        <v>0</v>
      </c>
      <c r="N55" s="139">
        <f>100*((((N54)/(AM54))/(((B54)/(AA54))+((C54)/(AB54))+((D54)/(AC54))+((E54)/(AD54))+((F54)/(AE54))+((G54)/(AF54))+((H54)/(AG54))+((I54)/(AH54))+((J54)/(AI54))+((K54)/(AJ54))+((L54)/(AK54))+((M54)/(AL54))+((N54)/(AM54))+((O54)/(AN54))+((P54)/(AO54))+((Q54)/(AP54))+((R54)/(AQ54))+((S54)/(AR54))+((T54)/(AS54))+((U54)/(AT54))+((V54)/(AU54))+((W54)/(AV54))+((X54)/(AW54))+((Y54)/(AX54))+((Z54)/(AY54)))))</f>
        <v>1.0677365836178039</v>
      </c>
      <c r="O55" s="139">
        <f>100*((((O54)/(AN54))/(((B54)/(AA54))+((C54)/(AB54))+((D54)/(AC54))+((E54)/(AD54))+((F54)/(AE54))+((G54)/(AF54))+((H54)/(AG54))+((I54)/(AH54))+((J54)/(AI54))+((K54)/(AJ54))+((L54)/(AK54))+((M54)/(AL54))+((N54)/(AM54))+((O54)/(AN54))+((P54)/(AO54))+((Q54)/(AP54))+((R54)/(AQ54))+((S54)/(AR54))+((T54)/(AS54))+((U54)/(AT54))+((V54)/(AU54))+((W54)/(AV54))+((X54)/(AW54))+((Y54)/(AX54))+((Z54)/(AY54)))))</f>
        <v>0.17358459043913399</v>
      </c>
      <c r="P55" s="139">
        <f>100*((((P54)/(AO54))/(((B54)/(AA54))+((C54)/(AB54))+((D54)/(AC54))+((E54)/(AD54))+((F54)/(AE54))+((G54)/(AF54))+((H54)/(AG54))+((I54)/(AH54))+((J54)/(AI54))+((K54)/(AJ54))+((L54)/(AK54))+((M54)/(AL54))+((N54)/(AM54))+((O54)/(AN54))+((P54)/(AO54))+((Q54)/(AP54))+((R54)/(AQ54))+((S54)/(AR54))+((T54)/(AS54))+((U54)/(AT54))+((V54)/(AU54))+((W54)/(AV54))+((X54)/(AW54))+((Y54)/(AX54))+((Z54)/(AY54)))))</f>
        <v>0</v>
      </c>
      <c r="Q55" s="139">
        <f>100*((((Q54)/(AP54))/(((B54)/(AA54))+((C54)/(AB54))+((D54)/(AC54))+((E54)/(AD54))+((F54)/(AE54))+((G54)/(AF54))+((H54)/(AG54))+((I54)/(AH54))+((J54)/(AI54))+((K54)/(AJ54))+((L54)/(AK54))+((M54)/(AL54))+((N54)/(AM54))+((O54)/(AN54))+((P54)/(AO54))+((Q54)/(AP54))+((R54)/(AQ54))+((S54)/(AR54))+((T54)/(AS54))+((U54)/(AT54))+((V54)/(AU54))+((W54)/(AV54))+((X54)/(AW54))+((Y54)/(AX54))+((Z54)/(AY54)))))</f>
        <v>0</v>
      </c>
      <c r="R55" s="139">
        <f>100*((((R54)/(AQ54))/(((B54)/(AA54))+((C54)/(AB54))+((D54)/(AC54))+((E54)/(AD54))+((F54)/(AE54))+((G54)/(AF54))+((H54)/(AG54))+((I54)/(AH54))+((J54)/(AI54))+((K54)/(AJ54))+((L54)/(AK54))+((M54)/(AL54))+((N54)/(AM54))+((O54)/(AN54))+((P54)/(AO54))+((Q54)/(AP54))+((R54)/(AQ54))+((S54)/(AR54))+((T54)/(AS54))+((U54)/(AT54))+((V54)/(AU54))+((W54)/(AV54))+((X54)/(AW54))+((Y54)/(AX54))+((Z54)/(AY54)))))</f>
        <v>0</v>
      </c>
      <c r="S55" s="139">
        <f>100*((((S54)/(AR54))/(((B54)/(AA54))+((C54)/(AB54))+((D54)/(AC54))+((E54)/(AD54))+((F54)/(AE54))+((G54)/(AF54))+((H54)/(AG54))+((I54)/(AH54))+((J54)/(AI54))+((K54)/(AJ54))+((L54)/(AK54))+((M54)/(AL54))+((N54)/(AM54))+((O54)/(AN54))+((P54)/(AO54))+((Q54)/(AP54))+((R54)/(AQ54))+((S54)/(AR54))+((T54)/(AS54))+((U54)/(AT54))+((V54)/(AU54))+((W54)/(AV54))+((X54)/(AW54))+((Y54)/(AX54))+((Z54)/(AY54)))))</f>
        <v>0</v>
      </c>
      <c r="T55" s="139">
        <f>100*((((T54)/(AS54))/(((B54)/(AA54))+((C54)/(AB54))+((D54)/(AC54))+((E54)/(AD54))+((F54)/(AE54))+((G54)/(AF54))+((H54)/(AG54))+((I54)/(AH54))+((J54)/(AI54))+((K54)/(AJ54))+((L54)/(AK54))+((M54)/(AL54))+((N54)/(AM54))+((O54)/(AN54))+((P54)/(AO54))+((Q54)/(AP54))+((R54)/(AQ54))+((S54)/(AR54))+((T54)/(AS54))+((U54)/(AT54))+((V54)/(AU54))+((W54)/(AV54))+((X54)/(AW54))+((Y54)/(AX54))+((Z54)/(AY54)))))</f>
        <v>0</v>
      </c>
      <c r="U55" s="139">
        <f>100*((((U54)/(AT54))/(((B54)/(AA54))+((C54)/(AB54))+((D54)/(AC54))+((E54)/(AD54))+((F54)/(AE54))+((G54)/(AF54))+((H54)/(AG54))+((I54)/(AH54))+((J54)/(AI54))+((K54)/(AJ54))+((L54)/(AK54))+((M54)/(AL54))+((N54)/(AM54))+((O54)/(AN54))+((P54)/(AO54))+((Q54)/(AP54))+((R54)/(AQ54))+((S54)/(AR54))+((T54)/(AS54))+((U54)/(AT54))+((V54)/(AU54))+((W54)/(AV54))+((X54)/(AW54))+((Y54)/(AX54))+((Z54)/(AY54)))))</f>
        <v>0</v>
      </c>
      <c r="V55" s="139">
        <f>100*((((V54)/(AU54))/(((B54)/(AA54))+((C54)/(AB54))+((D54)/(AC54))+((E54)/(AD54))+((F54)/(AE54))+((G54)/(AF54))+((H54)/(AG54))+((I54)/(AH54))+((J54)/(AI54))+((K54)/(AJ54))+((L54)/(AK54))+((M54)/(AL54))+((N54)/(AM54))+((O54)/(AN54))+((P54)/(AO54))+((Q54)/(AP54))+((R54)/(AQ54))+((S54)/(AR54))+((T54)/(AS54))+((U54)/(AT54))+((V54)/(AU54))+((W54)/(AV54))+((X54)/(AW54))+((Y54)/(AX54))+((Z54)/(AY54)))))</f>
        <v>0</v>
      </c>
      <c r="W55" s="139">
        <f>100*((((W54)/(AV54))/(((B54)/(AA54))+((C54)/(AB54))+((D54)/(AC54))+((E54)/(AD54))+((F54)/(AE54))+((G54)/(AF54))+((H54)/(AG54))+((I54)/(AH54))+((J54)/(AI54))+((K54)/(AJ54))+((L54)/(AK54))+((M54)/(AL54))+((N54)/(AM54))+((O54)/(AN54))+((P54)/(AO54))+((Q54)/(AP54))+((R54)/(AQ54))+((S54)/(AR54))+((T54)/(AS54))+((U54)/(AT54))+((V54)/(AU54))+((W54)/(AV54))+((X54)/(AW54))+((Y54)/(AX54))+((Z54)/(AY54)))))</f>
        <v>0</v>
      </c>
      <c r="X55" s="89">
        <f>100*((((X54)/(AW54))/(((B54)/(AA54))+((C54)/(AB54))+((D54)/(AC54))+((E54)/(AD54))+((F54)/(AE54))+((G54)/(AF54))+((H54)/(AG54))+((I54)/(AH54))+((J54)/(AI54))+((K54)/(AJ54))+((L54)/(AK54))+((M54)/(AL54))+((N54)/(AM54))+((O54)/(AN54))+((P54)/(AO54))+((Q54)/(AP54))+((R54)/(AQ54))+((S54)/(AR54))+((T54)/(AS54))+((U54)/(AT54))+((V54)/(AU54))+((W54)/(AV54))+((X54)/(AW54))+((Y54)/(AX54))+((Z54)/(AY54)))))</f>
        <v>0</v>
      </c>
      <c r="Y55" s="89">
        <f>100*((((Y54)/(AX54))/(((B54)/(AA54))+((C54)/(AB54))+((D54)/(AC54))+((E54)/(AD54))+((F54)/(AE54))+((G54)/(AF54))+((H54)/(AG54))+((I54)/(AH54))+((J54)/(AI54))+((K54)/(AJ54))+((L54)/(AK54))+((M54)/(AL54))+((N54)/(AM54))+((O54)/(AN54))+((P54)/(AO54))+((Q54)/(AP54))+((R54)/(AQ54))+((S54)/(AR54))+((T54)/(AS54))+((U54)/(AT54))+((V54)/(AU54))+((W54)/(AV54))+((X54)/(AW54))+((Y54)/(AX54))+((Z54)/(AY54)))))</f>
        <v>0</v>
      </c>
      <c r="Z55" s="89">
        <f>100*((((Z54)/(AY54))/(((B54)/(AA54))+((C54)/(AB54))+((D54)/(AC54))+((E54)/(AD54))+((F54)/(AE54))+((G54)/(AF54))+((H54)/(AG54))+((I54)/(AH54))+((J54)/(AI54))+((K54)/(AJ54))+((L54)/(AK54))+((M54)/(AL54))+((N54)/(AM54))+((O54)/(AN54))+((P54)/(AO54))+((Q54)/(AP54))+((R54)/(AQ54))+((S54)/(AR54))+((T54)/(AS54))+((U54)/(AT54))+((V54)/(AU54))+((W54)/(AV54))+((X54)/(AW54))+((Y54)/(AX54))+((Z54)/(AY54)))))</f>
        <v>0</v>
      </c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BB55" s="89"/>
    </row>
    <row r="56" spans="1:54" ht="21" x14ac:dyDescent="0.35">
      <c r="A56" s="89">
        <f>599-B56</f>
        <v>23.865022569802932</v>
      </c>
      <c r="B56" s="89">
        <f>599*B55/100</f>
        <v>575.13497743019707</v>
      </c>
      <c r="C56" s="89">
        <f>599*C55/100</f>
        <v>2.9601898459253317</v>
      </c>
      <c r="D56" s="89">
        <f t="shared" ref="D56:Z56" si="24">599*D55/100</f>
        <v>5.6659462166264634</v>
      </c>
      <c r="E56" s="89">
        <f t="shared" si="24"/>
        <v>0</v>
      </c>
      <c r="F56" s="89">
        <f t="shared" si="24"/>
        <v>0</v>
      </c>
      <c r="G56" s="89">
        <f t="shared" si="24"/>
        <v>3.0458702118071441</v>
      </c>
      <c r="H56" s="89">
        <f t="shared" si="24"/>
        <v>0.16104936542949333</v>
      </c>
      <c r="I56" s="89">
        <f t="shared" si="24"/>
        <v>1.0371234918788202E-2</v>
      </c>
      <c r="J56" s="89">
        <f t="shared" si="24"/>
        <v>0</v>
      </c>
      <c r="K56" s="89">
        <f t="shared" si="24"/>
        <v>4.6145279510306697E-2</v>
      </c>
      <c r="L56" s="89">
        <f t="shared" si="24"/>
        <v>4.5399365829844207</v>
      </c>
      <c r="M56" s="89">
        <f t="shared" si="24"/>
        <v>0</v>
      </c>
      <c r="N56" s="89">
        <f t="shared" si="24"/>
        <v>6.3957421358706448</v>
      </c>
      <c r="O56" s="89">
        <f t="shared" si="24"/>
        <v>1.0397716967304127</v>
      </c>
      <c r="P56" s="89">
        <f t="shared" si="24"/>
        <v>0</v>
      </c>
      <c r="Q56" s="89">
        <f t="shared" si="24"/>
        <v>0</v>
      </c>
      <c r="R56" s="89">
        <f t="shared" si="24"/>
        <v>0</v>
      </c>
      <c r="S56" s="89">
        <f t="shared" si="24"/>
        <v>0</v>
      </c>
      <c r="T56" s="89">
        <f t="shared" si="24"/>
        <v>0</v>
      </c>
      <c r="U56" s="89">
        <f t="shared" si="24"/>
        <v>0</v>
      </c>
      <c r="V56" s="89">
        <f t="shared" si="24"/>
        <v>0</v>
      </c>
      <c r="W56" s="89">
        <f t="shared" si="24"/>
        <v>0</v>
      </c>
      <c r="X56" s="89">
        <f t="shared" si="24"/>
        <v>0</v>
      </c>
      <c r="Y56" s="89">
        <f t="shared" si="24"/>
        <v>0</v>
      </c>
      <c r="Z56" s="89">
        <f t="shared" si="24"/>
        <v>0</v>
      </c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BB56" s="89"/>
    </row>
    <row r="57" spans="1:54" ht="21" x14ac:dyDescent="0.3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R57" s="4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BB57" s="89"/>
    </row>
    <row r="58" spans="1:54" ht="21" x14ac:dyDescent="0.35">
      <c r="A58" s="89">
        <f>B58+C58+D58+E58+F58+G58+H58+I58+J58+K58+L58+M58+N58+O58+P58+Q58+R58+S58+T58+U58+V58+W58+X58+Y58+Z58</f>
        <v>0</v>
      </c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R58" s="4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BB58" s="89"/>
    </row>
    <row r="59" spans="1:54" ht="21" x14ac:dyDescent="0.35">
      <c r="A59" s="89" t="s">
        <v>218</v>
      </c>
      <c r="B59" s="89">
        <f>K56+O56+U56+Q56+L56+M56+P56+N56</f>
        <v>12.021595695095785</v>
      </c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R59" s="4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BB59" s="89"/>
    </row>
    <row r="60" spans="1:54" ht="21" x14ac:dyDescent="0.35">
      <c r="A60" s="89" t="s">
        <v>237</v>
      </c>
      <c r="B60" s="89">
        <f>C56+D56+G56+H56+I56+J56+E56+F56</f>
        <v>11.84342687470722</v>
      </c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R60" s="4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BB60" s="89"/>
    </row>
    <row r="61" spans="1:54" ht="21" x14ac:dyDescent="0.35">
      <c r="A61" s="89"/>
      <c r="B61" s="179">
        <f>B59+B60</f>
        <v>23.865022569803003</v>
      </c>
      <c r="C61" s="326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R61" s="4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BB61" s="89"/>
    </row>
    <row r="62" spans="1:54" ht="21" x14ac:dyDescent="0.35">
      <c r="BB62" s="89"/>
    </row>
    <row r="63" spans="1:54" ht="28.5" x14ac:dyDescent="0.45">
      <c r="A63" s="271" t="s">
        <v>293</v>
      </c>
      <c r="B63" s="266" t="s">
        <v>14</v>
      </c>
      <c r="C63" s="266" t="s">
        <v>15</v>
      </c>
      <c r="D63" s="266" t="s">
        <v>8</v>
      </c>
      <c r="E63" s="266" t="s">
        <v>9</v>
      </c>
      <c r="F63" s="266" t="s">
        <v>234</v>
      </c>
      <c r="G63" s="266" t="s">
        <v>56</v>
      </c>
      <c r="H63" s="266" t="s">
        <v>57</v>
      </c>
      <c r="I63" s="266" t="s">
        <v>58</v>
      </c>
      <c r="J63" s="266" t="s">
        <v>77</v>
      </c>
      <c r="K63" s="267" t="s">
        <v>204</v>
      </c>
      <c r="L63" s="266" t="s">
        <v>16</v>
      </c>
      <c r="M63" s="266" t="s">
        <v>13</v>
      </c>
      <c r="N63" s="266" t="s">
        <v>44</v>
      </c>
      <c r="O63" s="266" t="s">
        <v>55</v>
      </c>
      <c r="P63" s="266" t="s">
        <v>17</v>
      </c>
      <c r="Q63" s="266" t="s">
        <v>80</v>
      </c>
      <c r="R63" s="266" t="s">
        <v>81</v>
      </c>
      <c r="S63" s="266" t="s">
        <v>82</v>
      </c>
      <c r="T63" s="266" t="s">
        <v>83</v>
      </c>
      <c r="U63" s="266" t="s">
        <v>45</v>
      </c>
      <c r="V63" s="266" t="s">
        <v>43</v>
      </c>
      <c r="W63" s="266" t="s">
        <v>12</v>
      </c>
      <c r="X63" s="266" t="s">
        <v>0</v>
      </c>
      <c r="Y63" s="266" t="s">
        <v>11</v>
      </c>
      <c r="Z63" s="266" t="s">
        <v>10</v>
      </c>
      <c r="AA63" s="266" t="s">
        <v>14</v>
      </c>
      <c r="AB63" s="266" t="s">
        <v>15</v>
      </c>
      <c r="AC63" s="266" t="s">
        <v>8</v>
      </c>
      <c r="AD63" s="266" t="s">
        <v>9</v>
      </c>
      <c r="AE63" s="266" t="s">
        <v>234</v>
      </c>
      <c r="AF63" s="266" t="s">
        <v>56</v>
      </c>
      <c r="AG63" s="266" t="s">
        <v>57</v>
      </c>
      <c r="AH63" s="266" t="s">
        <v>58</v>
      </c>
      <c r="AI63" s="266" t="s">
        <v>77</v>
      </c>
      <c r="AJ63" s="267" t="s">
        <v>204</v>
      </c>
      <c r="AK63" s="266" t="s">
        <v>16</v>
      </c>
      <c r="AL63" s="266" t="s">
        <v>13</v>
      </c>
      <c r="AM63" s="266" t="s">
        <v>44</v>
      </c>
      <c r="AN63" s="266" t="s">
        <v>55</v>
      </c>
      <c r="AO63" s="266" t="s">
        <v>17</v>
      </c>
      <c r="AP63" s="266" t="s">
        <v>80</v>
      </c>
      <c r="AQ63" s="266" t="s">
        <v>81</v>
      </c>
      <c r="AR63" s="266" t="s">
        <v>82</v>
      </c>
      <c r="AS63" s="266" t="s">
        <v>83</v>
      </c>
      <c r="AT63" s="266" t="s">
        <v>45</v>
      </c>
      <c r="AU63" s="266" t="s">
        <v>43</v>
      </c>
      <c r="AV63" s="266" t="s">
        <v>12</v>
      </c>
      <c r="AW63" s="266" t="s">
        <v>0</v>
      </c>
      <c r="AX63" s="266" t="s">
        <v>11</v>
      </c>
      <c r="AY63" s="266" t="s">
        <v>10</v>
      </c>
      <c r="BB63" s="89"/>
    </row>
    <row r="64" spans="1:54" ht="21" x14ac:dyDescent="0.35">
      <c r="A64" s="272" t="s">
        <v>289</v>
      </c>
      <c r="B64" s="139">
        <f>100-C64-D64-E64-F64-G64-H64-I64-J64-K64-L64-M64-N64-O64-P64-Q64-R64-S64-T64-U64-V64-W64-X64-Y64-Z64</f>
        <v>91.5625</v>
      </c>
      <c r="C64" s="177">
        <v>0.25</v>
      </c>
      <c r="D64" s="177">
        <v>5</v>
      </c>
      <c r="E64" s="177"/>
      <c r="F64" s="177"/>
      <c r="G64" s="177">
        <v>0.12</v>
      </c>
      <c r="H64" s="177">
        <v>1.4999999999999999E-2</v>
      </c>
      <c r="I64" s="177">
        <v>1E-3</v>
      </c>
      <c r="J64" s="177"/>
      <c r="K64" s="177">
        <v>1.5E-3</v>
      </c>
      <c r="L64" s="177">
        <v>0.75</v>
      </c>
      <c r="M64" s="177"/>
      <c r="N64" s="177">
        <v>2</v>
      </c>
      <c r="O64" s="177">
        <v>0.3</v>
      </c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89">
        <v>55.84</v>
      </c>
      <c r="AB64" s="89">
        <v>28.0855</v>
      </c>
      <c r="AC64" s="89">
        <v>58.693399999999997</v>
      </c>
      <c r="AD64" s="89">
        <v>63.545999999999999</v>
      </c>
      <c r="AE64" s="89">
        <v>65.38</v>
      </c>
      <c r="AF64" s="89">
        <v>12.01</v>
      </c>
      <c r="AG64" s="89">
        <v>30.973762000000001</v>
      </c>
      <c r="AH64" s="89">
        <v>32.064999999999998</v>
      </c>
      <c r="AI64" s="89">
        <v>14.0067</v>
      </c>
      <c r="AJ64" s="89">
        <v>10.81</v>
      </c>
      <c r="AK64" s="89">
        <v>54.938043999999998</v>
      </c>
      <c r="AL64" s="89">
        <v>24.305</v>
      </c>
      <c r="AM64" s="89">
        <v>51.996099999999998</v>
      </c>
      <c r="AN64" s="89">
        <v>95.95</v>
      </c>
      <c r="AO64" s="89">
        <v>47.866999999999997</v>
      </c>
      <c r="AP64" s="89">
        <v>50.941499999999998</v>
      </c>
      <c r="AQ64" s="89">
        <v>92.906369999999995</v>
      </c>
      <c r="AR64" s="89">
        <v>183.84</v>
      </c>
      <c r="AS64" s="89">
        <v>180.94788</v>
      </c>
      <c r="AT64" s="89">
        <v>91.224000000000004</v>
      </c>
      <c r="AU64" s="89">
        <v>58.933194999999998</v>
      </c>
      <c r="AV64" s="89">
        <v>26.981539999999999</v>
      </c>
      <c r="AW64" s="89">
        <v>121.76</v>
      </c>
      <c r="AX64" s="89">
        <v>207.2</v>
      </c>
      <c r="AY64" s="89">
        <v>118.71</v>
      </c>
      <c r="BB64" s="89"/>
    </row>
    <row r="65" spans="1:54" ht="21" x14ac:dyDescent="0.35">
      <c r="A65" s="89" t="s">
        <v>241</v>
      </c>
      <c r="B65" s="139">
        <f>100*((((B64)/(AA64))/(((B64)/(AA64))+((C64)/(AB64))+((D64)/(AC64))+((E64)/(AD64))+((F64)/(AE64))+((G64)/(AF64))+((H64)/(AG64))+((I64)/(AH64))+((J64)/(AI64))+((K64)/(AJ64))+((L64)/(AK64))+((M64)/(AL64))+((N64)/(AM64))+((O64)/(AN64))+((P64)/(AO64))+((Q64)/(AP64))+((R64)/(AQ64))+((S64)/(AR64))+((T64)/(AS64))+((U64)/(AT64))+((V64)/(AU64))+((W64)/(AV64))+((X64)/(AW64))+((Y64)/(AX64))+((Z64)/(AY64)))))</f>
        <v>91.110861957216784</v>
      </c>
      <c r="C65" s="139">
        <f>100*((((C64)/(AB64))/(((B64)/(AA64))+((C64)/(AB64))+((D64)/(AC64))+((E64)/(AD64))+((F64)/(AE64))+((G64)/(AF64))+((H64)/(AG64))+((I64)/(AH64))+((J64)/(AI64))+((K64)/(AJ64))+((L64)/(AK64))+((M64)/(AL64))+((N64)/(AM64))+((O64)/(AN64))+((P64)/(AO64))+((Q64)/(AP64))+((R64)/(AQ64))+((S64)/(AR64))+((T64)/(AS64))+((U64)/(AT64))+((V64)/(AU64))+((W64)/(AV64))+((X64)/(AW64))+((Y64)/(AX64))+((Z64)/(AY64)))))</f>
        <v>0.49460189006628386</v>
      </c>
      <c r="D65" s="139">
        <f>100*((((D64)/(AC64))/(((B64)/(AA64))+((C64)/(AB64))+((D64)/(AC64))+((E64)/(AD64))+((F64)/(AE64))+((G64)/(AF64))+((H64)/(AG64))+((I64)/(AH64))+((J64)/(AI64))+((K64)/(AJ64))+((L64)/(AK64))+((M64)/(AL64))+((N64)/(AM64))+((O64)/(AN64))+((P64)/(AO64))+((Q64)/(AP64))+((R64)/(AQ64))+((S64)/(AR64))+((T64)/(AS64))+((U64)/(AT64))+((V64)/(AU64))+((W64)/(AV64))+((X64)/(AW64))+((Y64)/(AX64))+((Z64)/(AY64)))))</f>
        <v>4.7334594293248013</v>
      </c>
      <c r="E65" s="139">
        <f>100*((((E64)/(AD64))/(((B64)/(AA64))+((C64)/(AB64))+((D64)/(AC64))+((E64)/(AD64))+((F64)/(AE64))+((G64)/(AF64))+((H64)/(AG64))+((I64)/(AH64))+((J64)/(AI64))+((K64)/(AJ64))+((L64)/(AK64))+((M64)/(AL64))+((N64)/(AM64))+((O64)/(AN64))+((P64)/(AO64))+((Q64)/(AP64))+((R64)/(AQ64))+((S64)/(AR64))+((T64)/(AS64))+((U64)/(AT64))+((V64)/(AU64))+((W64)/(AV64))+((X64)/(AW64))+((Y64)/(AX64))+((Z64)/(AY64)))))</f>
        <v>0</v>
      </c>
      <c r="F65" s="139">
        <f>100*((((F64)/(AE64))/(((B64)/(AA64))+((C64)/(AB64))+((D64)/(AC64))+((E64)/(AD64))+((F64)/(AE64))+((G64)/(AF64))+((H64)/(AG64))+((I64)/(AH64))+((J64)/(AI64))+((K64)/(AJ64))+((L64)/(AK64))+((M64)/(AL64))+((N64)/(AM64))+((O64)/(AN64))+((P64)/(AO64))+((Q64)/(AP64))+((R64)/(AQ64))+((S64)/(AR64))+((T64)/(AS64))+((U64)/(AT64))+((V64)/(AU64))+((W64)/(AV64))+((X64)/(AW64))+((Y64)/(AX64))+((Z64)/(AY64)))))</f>
        <v>0</v>
      </c>
      <c r="G65" s="139">
        <f>100*((((G64)/(AF64))/(((B64)/(AA64))+((C64)/(AB64))+((D64)/(AC64))+((E64)/(AD64))+((F64)/(AE64))+((G64)/(AF64))+((H64)/(AG64))+((I64)/(AH64))+((J64)/(AI64))+((K64)/(AJ64))+((L64)/(AK64))+((M64)/(AL64))+((N64)/(AM64))+((O64)/(AN64))+((P64)/(AO64))+((Q64)/(AP64))+((R64)/(AQ64))+((S64)/(AR64))+((T64)/(AS64))+((U64)/(AT64))+((V64)/(AU64))+((W64)/(AV64))+((X64)/(AW64))+((Y64)/(AX64))+((Z64)/(AY64)))))</f>
        <v>0.55518300283590138</v>
      </c>
      <c r="H65" s="139">
        <f>100*((((H64)/(AG64))/(((B64)/(AA64))+((C64)/(AB64))+((D64)/(AC64))+((E64)/(AD64))+((F64)/(AE64))+((G64)/(AF64))+((H64)/(AG64))+((I64)/(AH64))+((J64)/(AI64))+((K64)/(AJ64))+((L64)/(AK64))+((M64)/(AL64))+((N64)/(AM64))+((O64)/(AN64))+((P64)/(AO64))+((Q64)/(AP64))+((R64)/(AQ64))+((S64)/(AR64))+((T64)/(AS64))+((U64)/(AT64))+((V64)/(AU64))+((W64)/(AV64))+((X64)/(AW64))+((Y64)/(AX64))+((Z64)/(AY64)))))</f>
        <v>2.6908855405016571E-2</v>
      </c>
      <c r="I65" s="139">
        <f>100*((((I64)/(AH64))/(((B64)/(AA64))+((C64)/(AB64))+((D64)/(AC64))+((E64)/(AD64))+((F64)/(AE64))+((G64)/(AF64))+((H64)/(AG64))+((I64)/(AH64))+((J64)/(AI64))+((K64)/(AJ64))+((L64)/(AK64))+((M64)/(AL64))+((N64)/(AM64))+((O64)/(AN64))+((P64)/(AO64))+((Q64)/(AP64))+((R64)/(AQ64))+((S64)/(AR64))+((T64)/(AS64))+((U64)/(AT64))+((V64)/(AU64))+((W64)/(AV64))+((X64)/(AW64))+((Y64)/(AX64))+((Z64)/(AY64)))))</f>
        <v>1.7328727751076396E-3</v>
      </c>
      <c r="J65" s="139">
        <f>100*((((J64)/(AI64))/(((B64)/(AA64))+((C64)/(AB64))+((D64)/(AC64))+((E64)/(AD64))+((F64)/(AE64))+((G64)/(AF64))+((H64)/(AG64))+((I64)/(AH64))+((J64)/(AI64))+((K64)/(AJ64))+((L64)/(AK64))+((M64)/(AL64))+((N64)/(AM64))+((O64)/(AN64))+((P64)/(AO64))+((Q64)/(AP64))+((R64)/(AQ64))+((S64)/(AR64))+((T64)/(AS64))+((U64)/(AT64))+((V64)/(AU64))+((W64)/(AV64))+((X64)/(AW64))+((Y64)/(AX64))+((Z64)/(AY64)))))</f>
        <v>0</v>
      </c>
      <c r="K65" s="139">
        <f>100*((((K64)/(AJ64))/(((B64)/(AA64))+((C64)/(AB64))+((D64)/(AC64))+((E64)/(AD64))+((F64)/(AE64))+((G64)/(AF64))+((H64)/(AG64))+((I64)/(AH64))+((J64)/(AI64))+((K64)/(AJ64))+((L64)/(AK64))+((M64)/(AL64))+((N64)/(AM64))+((O64)/(AN64))+((P64)/(AO64))+((Q64)/(AP64))+((R64)/(AQ64))+((S64)/(AR64))+((T64)/(AS64))+((U64)/(AT64))+((V64)/(AU64))+((W64)/(AV64))+((X64)/(AW64))+((Y64)/(AX64))+((Z64)/(AY64)))))</f>
        <v>7.710161729948168E-3</v>
      </c>
      <c r="L65" s="139">
        <f>100*((((L64)/(AK64))/(((B64)/(AA64))+((C64)/(AB64))+((D64)/(AC64))+((E64)/(AD64))+((F64)/(AE64))+((G64)/(AF64))+((H64)/(AG64))+((I64)/(AH64))+((J64)/(AI64))+((K64)/(AJ64))+((L64)/(AK64))+((M64)/(AL64))+((N64)/(AM64))+((O64)/(AN64))+((P64)/(AO64))+((Q64)/(AP64))+((R64)/(AQ64))+((S64)/(AR64))+((T64)/(AS64))+((U64)/(AT64))+((V64)/(AU64))+((W64)/(AV64))+((X64)/(AW64))+((Y64)/(AX64))+((Z64)/(AY64)))))</f>
        <v>0.75855311030676387</v>
      </c>
      <c r="M65" s="139">
        <f>100*((((M64)/(AL64))/(((B64)/(AA64))+((C64)/(AB64))+((D64)/(AC64))+((E64)/(AD64))+((F64)/(AE64))+((G64)/(AF64))+((H64)/(AG64))+((I64)/(AH64))+((J64)/(AI64))+((K64)/(AJ64))+((L64)/(AK64))+((M64)/(AL64))+((N64)/(AM64))+((O64)/(AN64))+((P64)/(AO64))+((Q64)/(AP64))+((R64)/(AQ64))+((S64)/(AR64))+((T64)/(AS64))+((U64)/(AT64))+((V64)/(AU64))+((W64)/(AV64))+((X64)/(AW64))+((Y64)/(AX64))+((Z64)/(AY64)))))</f>
        <v>0</v>
      </c>
      <c r="N65" s="139">
        <f>100*((((N64)/(AM64))/(((B64)/(AA64))+((C64)/(AB64))+((D64)/(AC64))+((E64)/(AD64))+((F64)/(AE64))+((G64)/(AF64))+((H64)/(AG64))+((I64)/(AH64))+((J64)/(AI64))+((K64)/(AJ64))+((L64)/(AK64))+((M64)/(AL64))+((N64)/(AM64))+((O64)/(AN64))+((P64)/(AO64))+((Q64)/(AP64))+((R64)/(AQ64))+((S64)/(AR64))+((T64)/(AS64))+((U64)/(AT64))+((V64)/(AU64))+((W64)/(AV64))+((X64)/(AW64))+((Y64)/(AX64))+((Z64)/(AY64)))))</f>
        <v>2.1372589688006007</v>
      </c>
      <c r="O65" s="139">
        <f>100*((((O64)/(AN64))/(((B64)/(AA64))+((C64)/(AB64))+((D64)/(AC64))+((E64)/(AD64))+((F64)/(AE64))+((G64)/(AF64))+((H64)/(AG64))+((I64)/(AH64))+((J64)/(AI64))+((K64)/(AJ64))+((L64)/(AK64))+((M64)/(AL64))+((N64)/(AM64))+((O64)/(AN64))+((P64)/(AO64))+((Q64)/(AP64))+((R64)/(AQ64))+((S64)/(AR64))+((T64)/(AS64))+((U64)/(AT64))+((V64)/(AU64))+((W64)/(AV64))+((X64)/(AW64))+((Y64)/(AX64))+((Z64)/(AY64)))))</f>
        <v>0.17372975153880083</v>
      </c>
      <c r="P65" s="139">
        <f>100*((((P64)/(AO64))/(((B64)/(AA64))+((C64)/(AB64))+((D64)/(AC64))+((E64)/(AD64))+((F64)/(AE64))+((G64)/(AF64))+((H64)/(AG64))+((I64)/(AH64))+((J64)/(AI64))+((K64)/(AJ64))+((L64)/(AK64))+((M64)/(AL64))+((N64)/(AM64))+((O64)/(AN64))+((P64)/(AO64))+((Q64)/(AP64))+((R64)/(AQ64))+((S64)/(AR64))+((T64)/(AS64))+((U64)/(AT64))+((V64)/(AU64))+((W64)/(AV64))+((X64)/(AW64))+((Y64)/(AX64))+((Z64)/(AY64)))))</f>
        <v>0</v>
      </c>
      <c r="Q65" s="139">
        <f>100*((((Q64)/(AP64))/(((B64)/(AA64))+((C64)/(AB64))+((D64)/(AC64))+((E64)/(AD64))+((F64)/(AE64))+((G64)/(AF64))+((H64)/(AG64))+((I64)/(AH64))+((J64)/(AI64))+((K64)/(AJ64))+((L64)/(AK64))+((M64)/(AL64))+((N64)/(AM64))+((O64)/(AN64))+((P64)/(AO64))+((Q64)/(AP64))+((R64)/(AQ64))+((S64)/(AR64))+((T64)/(AS64))+((U64)/(AT64))+((V64)/(AU64))+((W64)/(AV64))+((X64)/(AW64))+((Y64)/(AX64))+((Z64)/(AY64)))))</f>
        <v>0</v>
      </c>
      <c r="R65" s="139">
        <f>100*((((R64)/(AQ64))/(((B64)/(AA64))+((C64)/(AB64))+((D64)/(AC64))+((E64)/(AD64))+((F64)/(AE64))+((G64)/(AF64))+((H64)/(AG64))+((I64)/(AH64))+((J64)/(AI64))+((K64)/(AJ64))+((L64)/(AK64))+((M64)/(AL64))+((N64)/(AM64))+((O64)/(AN64))+((P64)/(AO64))+((Q64)/(AP64))+((R64)/(AQ64))+((S64)/(AR64))+((T64)/(AS64))+((U64)/(AT64))+((V64)/(AU64))+((W64)/(AV64))+((X64)/(AW64))+((Y64)/(AX64))+((Z64)/(AY64)))))</f>
        <v>0</v>
      </c>
      <c r="S65" s="139">
        <f>100*((((S64)/(AR64))/(((B64)/(AA64))+((C64)/(AB64))+((D64)/(AC64))+((E64)/(AD64))+((F64)/(AE64))+((G64)/(AF64))+((H64)/(AG64))+((I64)/(AH64))+((J64)/(AI64))+((K64)/(AJ64))+((L64)/(AK64))+((M64)/(AL64))+((N64)/(AM64))+((O64)/(AN64))+((P64)/(AO64))+((Q64)/(AP64))+((R64)/(AQ64))+((S64)/(AR64))+((T64)/(AS64))+((U64)/(AT64))+((V64)/(AU64))+((W64)/(AV64))+((X64)/(AW64))+((Y64)/(AX64))+((Z64)/(AY64)))))</f>
        <v>0</v>
      </c>
      <c r="T65" s="139">
        <f>100*((((T64)/(AS64))/(((B64)/(AA64))+((C64)/(AB64))+((D64)/(AC64))+((E64)/(AD64))+((F64)/(AE64))+((G64)/(AF64))+((H64)/(AG64))+((I64)/(AH64))+((J64)/(AI64))+((K64)/(AJ64))+((L64)/(AK64))+((M64)/(AL64))+((N64)/(AM64))+((O64)/(AN64))+((P64)/(AO64))+((Q64)/(AP64))+((R64)/(AQ64))+((S64)/(AR64))+((T64)/(AS64))+((U64)/(AT64))+((V64)/(AU64))+((W64)/(AV64))+((X64)/(AW64))+((Y64)/(AX64))+((Z64)/(AY64)))))</f>
        <v>0</v>
      </c>
      <c r="U65" s="139">
        <f>100*((((U64)/(AT64))/(((B64)/(AA64))+((C64)/(AB64))+((D64)/(AC64))+((E64)/(AD64))+((F64)/(AE64))+((G64)/(AF64))+((H64)/(AG64))+((I64)/(AH64))+((J64)/(AI64))+((K64)/(AJ64))+((L64)/(AK64))+((M64)/(AL64))+((N64)/(AM64))+((O64)/(AN64))+((P64)/(AO64))+((Q64)/(AP64))+((R64)/(AQ64))+((S64)/(AR64))+((T64)/(AS64))+((U64)/(AT64))+((V64)/(AU64))+((W64)/(AV64))+((X64)/(AW64))+((Y64)/(AX64))+((Z64)/(AY64)))))</f>
        <v>0</v>
      </c>
      <c r="V65" s="139">
        <f>100*((((V64)/(AU64))/(((B64)/(AA64))+((C64)/(AB64))+((D64)/(AC64))+((E64)/(AD64))+((F64)/(AE64))+((G64)/(AF64))+((H64)/(AG64))+((I64)/(AH64))+((J64)/(AI64))+((K64)/(AJ64))+((L64)/(AK64))+((M64)/(AL64))+((N64)/(AM64))+((O64)/(AN64))+((P64)/(AO64))+((Q64)/(AP64))+((R64)/(AQ64))+((S64)/(AR64))+((T64)/(AS64))+((U64)/(AT64))+((V64)/(AU64))+((W64)/(AV64))+((X64)/(AW64))+((Y64)/(AX64))+((Z64)/(AY64)))))</f>
        <v>0</v>
      </c>
      <c r="W65" s="139">
        <f>100*((((W64)/(AV64))/(((B64)/(AA64))+((C64)/(AB64))+((D64)/(AC64))+((E64)/(AD64))+((F64)/(AE64))+((G64)/(AF64))+((H64)/(AG64))+((I64)/(AH64))+((J64)/(AI64))+((K64)/(AJ64))+((L64)/(AK64))+((M64)/(AL64))+((N64)/(AM64))+((O64)/(AN64))+((P64)/(AO64))+((Q64)/(AP64))+((R64)/(AQ64))+((S64)/(AR64))+((T64)/(AS64))+((U64)/(AT64))+((V64)/(AU64))+((W64)/(AV64))+((X64)/(AW64))+((Y64)/(AX64))+((Z64)/(AY64)))))</f>
        <v>0</v>
      </c>
      <c r="X65" s="89">
        <f>100*((((X64)/(AW64))/(((B64)/(AA64))+((C64)/(AB64))+((D64)/(AC64))+((E64)/(AD64))+((F64)/(AE64))+((G64)/(AF64))+((H64)/(AG64))+((I64)/(AH64))+((J64)/(AI64))+((K64)/(AJ64))+((L64)/(AK64))+((M64)/(AL64))+((N64)/(AM64))+((O64)/(AN64))+((P64)/(AO64))+((Q64)/(AP64))+((R64)/(AQ64))+((S64)/(AR64))+((T64)/(AS64))+((U64)/(AT64))+((V64)/(AU64))+((W64)/(AV64))+((X64)/(AW64))+((Y64)/(AX64))+((Z64)/(AY64)))))</f>
        <v>0</v>
      </c>
      <c r="Y65" s="89">
        <f>100*((((Y64)/(AX64))/(((B64)/(AA64))+((C64)/(AB64))+((D64)/(AC64))+((E64)/(AD64))+((F64)/(AE64))+((G64)/(AF64))+((H64)/(AG64))+((I64)/(AH64))+((J64)/(AI64))+((K64)/(AJ64))+((L64)/(AK64))+((M64)/(AL64))+((N64)/(AM64))+((O64)/(AN64))+((P64)/(AO64))+((Q64)/(AP64))+((R64)/(AQ64))+((S64)/(AR64))+((T64)/(AS64))+((U64)/(AT64))+((V64)/(AU64))+((W64)/(AV64))+((X64)/(AW64))+((Y64)/(AX64))+((Z64)/(AY64)))))</f>
        <v>0</v>
      </c>
      <c r="Z65" s="89">
        <f>100*((((Z64)/(AY64))/(((B64)/(AA64))+((C64)/(AB64))+((D64)/(AC64))+((E64)/(AD64))+((F64)/(AE64))+((G64)/(AF64))+((H64)/(AG64))+((I64)/(AH64))+((J64)/(AI64))+((K64)/(AJ64))+((L64)/(AK64))+((M64)/(AL64))+((N64)/(AM64))+((O64)/(AN64))+((P64)/(AO64))+((Q64)/(AP64))+((R64)/(AQ64))+((S64)/(AR64))+((T64)/(AS64))+((U64)/(AT64))+((V64)/(AU64))+((W64)/(AV64))+((X64)/(AW64))+((Y64)/(AX64))+((Z64)/(AY64)))))</f>
        <v>0</v>
      </c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  <c r="AX65" s="89"/>
      <c r="AY65" s="89"/>
      <c r="BB65" s="89"/>
    </row>
    <row r="66" spans="1:54" ht="21" x14ac:dyDescent="0.35">
      <c r="A66" s="89">
        <f>599-B66</f>
        <v>53.245936876271458</v>
      </c>
      <c r="B66" s="89">
        <f>599*B65/100</f>
        <v>545.75406312372854</v>
      </c>
      <c r="C66" s="89">
        <f>599*C65/100</f>
        <v>2.96266532149704</v>
      </c>
      <c r="D66" s="89">
        <f t="shared" ref="D66:Z66" si="25">599*D65/100</f>
        <v>28.353421981655561</v>
      </c>
      <c r="E66" s="89">
        <f t="shared" si="25"/>
        <v>0</v>
      </c>
      <c r="F66" s="89">
        <f t="shared" si="25"/>
        <v>0</v>
      </c>
      <c r="G66" s="89">
        <f t="shared" si="25"/>
        <v>3.3255461869870491</v>
      </c>
      <c r="H66" s="89">
        <f t="shared" si="25"/>
        <v>0.16118404387604926</v>
      </c>
      <c r="I66" s="89">
        <f t="shared" si="25"/>
        <v>1.0379907922894761E-2</v>
      </c>
      <c r="J66" s="89">
        <f t="shared" si="25"/>
        <v>0</v>
      </c>
      <c r="K66" s="89">
        <f t="shared" si="25"/>
        <v>4.6183868762389529E-2</v>
      </c>
      <c r="L66" s="89">
        <f t="shared" si="25"/>
        <v>4.5437331307375155</v>
      </c>
      <c r="M66" s="89">
        <f t="shared" si="25"/>
        <v>0</v>
      </c>
      <c r="N66" s="89">
        <f t="shared" si="25"/>
        <v>12.8021812231156</v>
      </c>
      <c r="O66" s="89">
        <f t="shared" si="25"/>
        <v>1.0406412117174169</v>
      </c>
      <c r="P66" s="89">
        <f t="shared" si="25"/>
        <v>0</v>
      </c>
      <c r="Q66" s="89">
        <f t="shared" si="25"/>
        <v>0</v>
      </c>
      <c r="R66" s="89">
        <f t="shared" si="25"/>
        <v>0</v>
      </c>
      <c r="S66" s="89">
        <f t="shared" si="25"/>
        <v>0</v>
      </c>
      <c r="T66" s="89">
        <f t="shared" si="25"/>
        <v>0</v>
      </c>
      <c r="U66" s="89">
        <f t="shared" si="25"/>
        <v>0</v>
      </c>
      <c r="V66" s="89">
        <f t="shared" si="25"/>
        <v>0</v>
      </c>
      <c r="W66" s="89">
        <f t="shared" si="25"/>
        <v>0</v>
      </c>
      <c r="X66" s="89">
        <f t="shared" si="25"/>
        <v>0</v>
      </c>
      <c r="Y66" s="89">
        <f t="shared" si="25"/>
        <v>0</v>
      </c>
      <c r="Z66" s="89">
        <f t="shared" si="25"/>
        <v>0</v>
      </c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</row>
    <row r="67" spans="1:54" ht="21" x14ac:dyDescent="0.35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R67" s="4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</row>
    <row r="68" spans="1:54" ht="21" x14ac:dyDescent="0.35">
      <c r="A68" s="89">
        <f>B68+C68+D68+E68+F68+G68+H68+I68+J68+K68+L68+M68+N68+O68+P68+Q68+R68+S68+T68+U68+V68+W68+X68+Y68+Z68</f>
        <v>176.8</v>
      </c>
      <c r="B68" s="89"/>
      <c r="C68" s="89">
        <v>18</v>
      </c>
      <c r="D68" s="89">
        <v>6</v>
      </c>
      <c r="E68" s="89">
        <v>3</v>
      </c>
      <c r="F68" s="89"/>
      <c r="G68" s="89">
        <v>66</v>
      </c>
      <c r="H68" s="89">
        <v>0.5</v>
      </c>
      <c r="I68" s="89">
        <v>0.3</v>
      </c>
      <c r="J68" s="89"/>
      <c r="K68" s="89"/>
      <c r="L68" s="89">
        <v>6</v>
      </c>
      <c r="M68" s="89"/>
      <c r="N68" s="89">
        <v>72</v>
      </c>
      <c r="O68" s="89">
        <v>5</v>
      </c>
      <c r="P68" s="89"/>
      <c r="R68" s="4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  <c r="AX68" s="89"/>
      <c r="AY68" s="89"/>
    </row>
    <row r="69" spans="1:54" ht="21" x14ac:dyDescent="0.35">
      <c r="A69" s="89" t="s">
        <v>218</v>
      </c>
      <c r="B69" s="89">
        <f>K66+O66+U66+Q66+L66+M66+P66+N66</f>
        <v>18.432739434332923</v>
      </c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R69" s="4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  <c r="AX69" s="89"/>
      <c r="AY69" s="89"/>
    </row>
    <row r="70" spans="1:54" ht="21" x14ac:dyDescent="0.35">
      <c r="A70" s="89" t="s">
        <v>237</v>
      </c>
      <c r="B70" s="89">
        <f>C66+D66+G66+H66+I66+J66+E66+F66</f>
        <v>34.813197441938591</v>
      </c>
      <c r="C70" s="89"/>
      <c r="D70" s="89"/>
      <c r="E70" s="89"/>
      <c r="F70" s="89"/>
      <c r="G70" s="89"/>
      <c r="H70" s="89"/>
      <c r="I70" s="89"/>
      <c r="J70" s="89"/>
      <c r="K70" s="89">
        <f>3-O68-U68</f>
        <v>-2</v>
      </c>
      <c r="L70" s="89"/>
      <c r="M70" s="89"/>
      <c r="N70" s="89"/>
      <c r="O70" s="89"/>
      <c r="P70" s="89"/>
      <c r="R70" s="4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  <c r="AX70" s="89"/>
      <c r="AY70" s="89"/>
    </row>
    <row r="71" spans="1:54" ht="21" x14ac:dyDescent="0.35">
      <c r="A71" s="89"/>
      <c r="B71" s="179">
        <f>B69+B70</f>
        <v>53.245936876271514</v>
      </c>
      <c r="C71" s="326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R71" s="4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</row>
    <row r="73" spans="1:54" ht="28.5" x14ac:dyDescent="0.45">
      <c r="A73" s="271" t="s">
        <v>295</v>
      </c>
      <c r="B73" s="266" t="s">
        <v>14</v>
      </c>
      <c r="C73" s="266" t="s">
        <v>15</v>
      </c>
      <c r="D73" s="266" t="s">
        <v>8</v>
      </c>
      <c r="E73" s="266" t="s">
        <v>9</v>
      </c>
      <c r="F73" s="266" t="s">
        <v>234</v>
      </c>
      <c r="G73" s="266" t="s">
        <v>56</v>
      </c>
      <c r="H73" s="266" t="s">
        <v>57</v>
      </c>
      <c r="I73" s="266" t="s">
        <v>58</v>
      </c>
      <c r="J73" s="266" t="s">
        <v>77</v>
      </c>
      <c r="K73" s="267" t="s">
        <v>204</v>
      </c>
      <c r="L73" s="266" t="s">
        <v>16</v>
      </c>
      <c r="M73" s="266" t="s">
        <v>13</v>
      </c>
      <c r="N73" s="266" t="s">
        <v>44</v>
      </c>
      <c r="O73" s="266" t="s">
        <v>55</v>
      </c>
      <c r="P73" s="266" t="s">
        <v>17</v>
      </c>
      <c r="Q73" s="266" t="s">
        <v>80</v>
      </c>
      <c r="R73" s="266" t="s">
        <v>81</v>
      </c>
      <c r="S73" s="266" t="s">
        <v>82</v>
      </c>
      <c r="T73" s="266" t="s">
        <v>83</v>
      </c>
      <c r="U73" s="266" t="s">
        <v>45</v>
      </c>
      <c r="V73" s="266" t="s">
        <v>43</v>
      </c>
      <c r="W73" s="266" t="s">
        <v>12</v>
      </c>
      <c r="X73" s="266" t="s">
        <v>0</v>
      </c>
      <c r="Y73" s="266" t="s">
        <v>11</v>
      </c>
      <c r="Z73" s="266" t="s">
        <v>10</v>
      </c>
      <c r="AA73" s="266" t="s">
        <v>14</v>
      </c>
      <c r="AB73" s="266" t="s">
        <v>15</v>
      </c>
      <c r="AC73" s="266" t="s">
        <v>8</v>
      </c>
      <c r="AD73" s="266" t="s">
        <v>9</v>
      </c>
      <c r="AE73" s="266" t="s">
        <v>234</v>
      </c>
      <c r="AF73" s="266" t="s">
        <v>56</v>
      </c>
      <c r="AG73" s="266" t="s">
        <v>57</v>
      </c>
      <c r="AH73" s="266" t="s">
        <v>58</v>
      </c>
      <c r="AI73" s="266" t="s">
        <v>77</v>
      </c>
      <c r="AJ73" s="267" t="s">
        <v>204</v>
      </c>
      <c r="AK73" s="266" t="s">
        <v>16</v>
      </c>
      <c r="AL73" s="266" t="s">
        <v>13</v>
      </c>
      <c r="AM73" s="266" t="s">
        <v>44</v>
      </c>
      <c r="AN73" s="266" t="s">
        <v>55</v>
      </c>
      <c r="AO73" s="266" t="s">
        <v>17</v>
      </c>
      <c r="AP73" s="266" t="s">
        <v>80</v>
      </c>
      <c r="AQ73" s="266" t="s">
        <v>81</v>
      </c>
      <c r="AR73" s="266" t="s">
        <v>82</v>
      </c>
      <c r="AS73" s="266" t="s">
        <v>83</v>
      </c>
      <c r="AT73" s="266" t="s">
        <v>45</v>
      </c>
      <c r="AU73" s="266" t="s">
        <v>43</v>
      </c>
      <c r="AV73" s="266" t="s">
        <v>12</v>
      </c>
      <c r="AW73" s="266" t="s">
        <v>0</v>
      </c>
      <c r="AX73" s="266" t="s">
        <v>11</v>
      </c>
      <c r="AY73" s="266" t="s">
        <v>10</v>
      </c>
    </row>
    <row r="74" spans="1:54" ht="21" x14ac:dyDescent="0.35">
      <c r="A74" s="272" t="s">
        <v>289</v>
      </c>
      <c r="B74" s="139">
        <f>100-C74-D74-E74-F74-G74-H74-I74-J74-K74-L74-M74-N74-O74-P74-Q74-R74-S74-T74-U74-V74-W74-X74-Y74-Z74</f>
        <v>97.032499999999999</v>
      </c>
      <c r="C74" s="177">
        <v>0.2</v>
      </c>
      <c r="D74" s="177">
        <v>0.9</v>
      </c>
      <c r="E74" s="177"/>
      <c r="F74" s="177"/>
      <c r="G74" s="177">
        <v>0.15</v>
      </c>
      <c r="H74" s="177">
        <v>1.4999999999999999E-2</v>
      </c>
      <c r="I74" s="177">
        <v>1E-3</v>
      </c>
      <c r="J74" s="177"/>
      <c r="K74" s="177">
        <v>1.5E-3</v>
      </c>
      <c r="L74" s="177">
        <v>0.6</v>
      </c>
      <c r="M74" s="177"/>
      <c r="N74" s="177">
        <v>0.75</v>
      </c>
      <c r="O74" s="177">
        <v>0.3</v>
      </c>
      <c r="P74" s="177"/>
      <c r="Q74" s="177">
        <v>0.05</v>
      </c>
      <c r="R74" s="177"/>
      <c r="S74" s="177"/>
      <c r="T74" s="177"/>
      <c r="U74" s="177"/>
      <c r="V74" s="177"/>
      <c r="W74" s="177"/>
      <c r="X74" s="177"/>
      <c r="Y74" s="177"/>
      <c r="Z74" s="177"/>
      <c r="AA74" s="189">
        <v>55.84</v>
      </c>
      <c r="AB74" s="89">
        <v>28.0855</v>
      </c>
      <c r="AC74" s="89">
        <v>58.693399999999997</v>
      </c>
      <c r="AD74" s="89">
        <v>63.545999999999999</v>
      </c>
      <c r="AE74" s="89">
        <v>65.38</v>
      </c>
      <c r="AF74" s="89">
        <v>12.01</v>
      </c>
      <c r="AG74" s="89">
        <v>30.973762000000001</v>
      </c>
      <c r="AH74" s="89">
        <v>32.064999999999998</v>
      </c>
      <c r="AI74" s="89">
        <v>14.0067</v>
      </c>
      <c r="AJ74" s="89">
        <v>10.81</v>
      </c>
      <c r="AK74" s="89">
        <v>54.938043999999998</v>
      </c>
      <c r="AL74" s="89">
        <v>24.305</v>
      </c>
      <c r="AM74" s="89">
        <v>51.996099999999998</v>
      </c>
      <c r="AN74" s="89">
        <v>95.95</v>
      </c>
      <c r="AO74" s="89">
        <v>47.866999999999997</v>
      </c>
      <c r="AP74" s="89">
        <v>50.941499999999998</v>
      </c>
      <c r="AQ74" s="89">
        <v>92.906369999999995</v>
      </c>
      <c r="AR74" s="89">
        <v>183.84</v>
      </c>
      <c r="AS74" s="89">
        <v>180.94788</v>
      </c>
      <c r="AT74" s="89">
        <v>91.224000000000004</v>
      </c>
      <c r="AU74" s="89">
        <v>58.933194999999998</v>
      </c>
      <c r="AV74" s="89">
        <v>26.981539999999999</v>
      </c>
      <c r="AW74" s="89">
        <v>121.76</v>
      </c>
      <c r="AX74" s="89">
        <v>207.2</v>
      </c>
      <c r="AY74" s="89">
        <v>118.71</v>
      </c>
    </row>
    <row r="75" spans="1:54" ht="21" x14ac:dyDescent="0.35">
      <c r="A75" s="89" t="s">
        <v>241</v>
      </c>
      <c r="B75" s="139">
        <f>100*((((B74)/(AA74))/(((B74)/(AA74))+((C74)/(AB74))+((D74)/(AC74))+((E74)/(AD74))+((F74)/(AE74))+((G74)/(AF74))+((H74)/(AG74))+((I74)/(AH74))+((J74)/(AI74))+((K74)/(AJ74))+((L74)/(AK74))+((M74)/(AL74))+((N74)/(AM74))+((O74)/(AN74))+((P74)/(AO74))+((Q74)/(AP74))+((R74)/(AQ74))+((S74)/(AR74))+((T74)/(AS74))+((U74)/(AT74))+((V74)/(AU74))+((W74)/(AV74))+((X74)/(AW74))+((Y74)/(AX74))+((Z74)/(AY74)))))</f>
        <v>96.391463471308285</v>
      </c>
      <c r="C75" s="139">
        <f>100*((((C74)/(AB74))/(((B74)/(AA74))+((C74)/(AB74))+((D74)/(AC74))+((E74)/(AD74))+((F74)/(AE74))+((G74)/(AF74))+((H74)/(AG74))+((I74)/(AH74))+((J74)/(AI74))+((K74)/(AJ74))+((L74)/(AK74))+((M74)/(AL74))+((N74)/(AM74))+((O74)/(AN74))+((P74)/(AO74))+((Q74)/(AP74))+((R74)/(AQ74))+((S74)/(AR74))+((T74)/(AS74))+((U74)/(AT74))+((V74)/(AU74))+((W74)/(AV74))+((X74)/(AW74))+((Y74)/(AX74))+((Z74)/(AY74)))))</f>
        <v>0.39501591950732656</v>
      </c>
      <c r="D75" s="139">
        <f>100*((((D74)/(AC74))/(((B74)/(AA74))+((C74)/(AB74))+((D74)/(AC74))+((E74)/(AD74))+((F74)/(AE74))+((G74)/(AF74))+((H74)/(AG74))+((I74)/(AH74))+((J74)/(AI74))+((K74)/(AJ74))+((L74)/(AK74))+((M74)/(AL74))+((N74)/(AM74))+((O74)/(AN74))+((P74)/(AO74))+((Q74)/(AP74))+((R74)/(AQ74))+((S74)/(AR74))+((T74)/(AS74))+((U74)/(AT74))+((V74)/(AU74))+((W74)/(AV74))+((X74)/(AW74))+((Y74)/(AX74))+((Z74)/(AY74)))))</f>
        <v>0.85058947399458196</v>
      </c>
      <c r="E75" s="139">
        <f>100*((((E74)/(AD74))/(((B74)/(AA74))+((C74)/(AB74))+((D74)/(AC74))+((E74)/(AD74))+((F74)/(AE74))+((G74)/(AF74))+((H74)/(AG74))+((I74)/(AH74))+((J74)/(AI74))+((K74)/(AJ74))+((L74)/(AK74))+((M74)/(AL74))+((N74)/(AM74))+((O74)/(AN74))+((P74)/(AO74))+((Q74)/(AP74))+((R74)/(AQ74))+((S74)/(AR74))+((T74)/(AS74))+((U74)/(AT74))+((V74)/(AU74))+((W74)/(AV74))+((X74)/(AW74))+((Y74)/(AX74))+((Z74)/(AY74)))))</f>
        <v>0</v>
      </c>
      <c r="F75" s="139">
        <f>100*((((F74)/(AE74))/(((B74)/(AA74))+((C74)/(AB74))+((D74)/(AC74))+((E74)/(AD74))+((F74)/(AE74))+((G74)/(AF74))+((H74)/(AG74))+((I74)/(AH74))+((J74)/(AI74))+((K74)/(AJ74))+((L74)/(AK74))+((M74)/(AL74))+((N74)/(AM74))+((O74)/(AN74))+((P74)/(AO74))+((Q74)/(AP74))+((R74)/(AQ74))+((S74)/(AR74))+((T74)/(AS74))+((U74)/(AT74))+((V74)/(AU74))+((W74)/(AV74))+((X74)/(AW74))+((Y74)/(AX74))+((Z74)/(AY74)))))</f>
        <v>0</v>
      </c>
      <c r="G75" s="139">
        <f>100*((((G74)/(AF74))/(((B74)/(AA74))+((C74)/(AB74))+((D74)/(AC74))+((E74)/(AD74))+((F74)/(AE74))+((G74)/(AF74))+((H74)/(AG74))+((I74)/(AH74))+((J74)/(AI74))+((K74)/(AJ74))+((L74)/(AK74))+((M74)/(AL74))+((N74)/(AM74))+((O74)/(AN74))+((P74)/(AO74))+((Q74)/(AP74))+((R74)/(AQ74))+((S74)/(AR74))+((T74)/(AS74))+((U74)/(AT74))+((V74)/(AU74))+((W74)/(AV74))+((X74)/(AW74))+((Y74)/(AX74))+((Z74)/(AY74)))))</f>
        <v>0.69281138263882303</v>
      </c>
      <c r="H75" s="139">
        <f>100*((((H74)/(AG74))/(((B74)/(AA74))+((C74)/(AB74))+((D74)/(AC74))+((E74)/(AD74))+((F74)/(AE74))+((G74)/(AF74))+((H74)/(AG74))+((I74)/(AH74))+((J74)/(AI74))+((K74)/(AJ74))+((L74)/(AK74))+((M74)/(AL74))+((N74)/(AM74))+((O74)/(AN74))+((P74)/(AO74))+((Q74)/(AP74))+((R74)/(AQ74))+((S74)/(AR74))+((T74)/(AS74))+((U74)/(AT74))+((V74)/(AU74))+((W74)/(AV74))+((X74)/(AW74))+((Y74)/(AX74))+((Z74)/(AY74)))))</f>
        <v>2.6863590885383138E-2</v>
      </c>
      <c r="I75" s="139">
        <f>100*((((I74)/(AH74))/(((B74)/(AA74))+((C74)/(AB74))+((D74)/(AC74))+((E74)/(AD74))+((F74)/(AE74))+((G74)/(AF74))+((H74)/(AG74))+((I74)/(AH74))+((J74)/(AI74))+((K74)/(AJ74))+((L74)/(AK74))+((M74)/(AL74))+((N74)/(AM74))+((O74)/(AN74))+((P74)/(AO74))+((Q74)/(AP74))+((R74)/(AQ74))+((S74)/(AR74))+((T74)/(AS74))+((U74)/(AT74))+((V74)/(AU74))+((W74)/(AV74))+((X74)/(AW74))+((Y74)/(AX74))+((Z74)/(AY74)))))</f>
        <v>1.7299578367882457E-3</v>
      </c>
      <c r="J75" s="139">
        <f>100*((((J74)/(AI74))/(((B74)/(AA74))+((C74)/(AB74))+((D74)/(AC74))+((E74)/(AD74))+((F74)/(AE74))+((G74)/(AF74))+((H74)/(AG74))+((I74)/(AH74))+((J74)/(AI74))+((K74)/(AJ74))+((L74)/(AK74))+((M74)/(AL74))+((N74)/(AM74))+((O74)/(AN74))+((P74)/(AO74))+((Q74)/(AP74))+((R74)/(AQ74))+((S74)/(AR74))+((T74)/(AS74))+((U74)/(AT74))+((V74)/(AU74))+((W74)/(AV74))+((X74)/(AW74))+((Y74)/(AX74))+((Z74)/(AY74)))))</f>
        <v>0</v>
      </c>
      <c r="K75" s="139">
        <f>100*((((K74)/(AJ74))/(((B74)/(AA74))+((C74)/(AB74))+((D74)/(AC74))+((E74)/(AD74))+((F74)/(AE74))+((G74)/(AF74))+((H74)/(AG74))+((I74)/(AH74))+((J74)/(AI74))+((K74)/(AJ74))+((L74)/(AK74))+((M74)/(AL74))+((N74)/(AM74))+((O74)/(AN74))+((P74)/(AO74))+((Q74)/(AP74))+((R74)/(AQ74))+((S74)/(AR74))+((T74)/(AS74))+((U74)/(AT74))+((V74)/(AU74))+((W74)/(AV74))+((X74)/(AW74))+((Y74)/(AX74))+((Z74)/(AY74)))))</f>
        <v>7.6971921419909939E-3</v>
      </c>
      <c r="L75" s="139">
        <f>100*((((L74)/(AK74))/(((B74)/(AA74))+((C74)/(AB74))+((D74)/(AC74))+((E74)/(AD74))+((F74)/(AE74))+((G74)/(AF74))+((H74)/(AG74))+((I74)/(AH74))+((J74)/(AI74))+((K74)/(AJ74))+((L74)/(AK74))+((M74)/(AL74))+((N74)/(AM74))+((O74)/(AN74))+((P74)/(AO74))+((Q74)/(AP74))+((R74)/(AQ74))+((S74)/(AR74))+((T74)/(AS74))+((U74)/(AT74))+((V74)/(AU74))+((W74)/(AV74))+((X74)/(AW74))+((Y74)/(AX74))+((Z74)/(AY74)))))</f>
        <v>0.60582169292319643</v>
      </c>
      <c r="M75" s="139">
        <f>100*((((M74)/(AL74))/(((B74)/(AA74))+((C74)/(AB74))+((D74)/(AC74))+((E74)/(AD74))+((F74)/(AE74))+((G74)/(AF74))+((H74)/(AG74))+((I74)/(AH74))+((J74)/(AI74))+((K74)/(AJ74))+((L74)/(AK74))+((M74)/(AL74))+((N74)/(AM74))+((O74)/(AN74))+((P74)/(AO74))+((Q74)/(AP74))+((R74)/(AQ74))+((S74)/(AR74))+((T74)/(AS74))+((U74)/(AT74))+((V74)/(AU74))+((W74)/(AV74))+((X74)/(AW74))+((Y74)/(AX74))+((Z74)/(AY74)))))</f>
        <v>0</v>
      </c>
      <c r="N75" s="139">
        <f>100*((((N74)/(AM74))/(((B74)/(AA74))+((C74)/(AB74))+((D74)/(AC74))+((E74)/(AD74))+((F74)/(AE74))+((G74)/(AF74))+((H74)/(AG74))+((I74)/(AH74))+((J74)/(AI74))+((K74)/(AJ74))+((L74)/(AK74))+((M74)/(AL74))+((N74)/(AM74))+((O74)/(AN74))+((P74)/(AO74))+((Q74)/(AP74))+((R74)/(AQ74))+((S74)/(AR74))+((T74)/(AS74))+((U74)/(AT74))+((V74)/(AU74))+((W74)/(AV74))+((X74)/(AW74))+((Y74)/(AX74))+((Z74)/(AY74)))))</f>
        <v>0.80012392328388715</v>
      </c>
      <c r="O75" s="139">
        <f>100*((((O74)/(AN74))/(((B74)/(AA74))+((C74)/(AB74))+((D74)/(AC74))+((E74)/(AD74))+((F74)/(AE74))+((G74)/(AF74))+((H74)/(AG74))+((I74)/(AH74))+((J74)/(AI74))+((K74)/(AJ74))+((L74)/(AK74))+((M74)/(AL74))+((N74)/(AM74))+((O74)/(AN74))+((P74)/(AO74))+((Q74)/(AP74))+((R74)/(AQ74))+((S74)/(AR74))+((T74)/(AS74))+((U74)/(AT74))+((V74)/(AU74))+((W74)/(AV74))+((X74)/(AW74))+((Y74)/(AX74))+((Z74)/(AY74)))))</f>
        <v>0.17343751340265273</v>
      </c>
      <c r="P75" s="139">
        <f>100*((((P74)/(AO74))/(((B74)/(AA74))+((C74)/(AB74))+((D74)/(AC74))+((E74)/(AD74))+((F74)/(AE74))+((G74)/(AF74))+((H74)/(AG74))+((I74)/(AH74))+((J74)/(AI74))+((K74)/(AJ74))+((L74)/(AK74))+((M74)/(AL74))+((N74)/(AM74))+((O74)/(AN74))+((P74)/(AO74))+((Q74)/(AP74))+((R74)/(AQ74))+((S74)/(AR74))+((T74)/(AS74))+((U74)/(AT74))+((V74)/(AU74))+((W74)/(AV74))+((X74)/(AW74))+((Y74)/(AX74))+((Z74)/(AY74)))))</f>
        <v>0</v>
      </c>
      <c r="Q75" s="139">
        <f>100*((((Q74)/(AP74))/(((B74)/(AA74))+((C74)/(AB74))+((D74)/(AC74))+((E74)/(AD74))+((F74)/(AE74))+((G74)/(AF74))+((H74)/(AG74))+((I74)/(AH74))+((J74)/(AI74))+((K74)/(AJ74))+((L74)/(AK74))+((M74)/(AL74))+((N74)/(AM74))+((O74)/(AN74))+((P74)/(AO74))+((Q74)/(AP74))+((R74)/(AQ74))+((S74)/(AR74))+((T74)/(AS74))+((U74)/(AT74))+((V74)/(AU74))+((W74)/(AV74))+((X74)/(AW74))+((Y74)/(AX74))+((Z74)/(AY74)))))</f>
        <v>5.4445882077103248E-2</v>
      </c>
      <c r="R75" s="139">
        <f>100*((((R74)/(AQ74))/(((B74)/(AA74))+((C74)/(AB74))+((D74)/(AC74))+((E74)/(AD74))+((F74)/(AE74))+((G74)/(AF74))+((H74)/(AG74))+((I74)/(AH74))+((J74)/(AI74))+((K74)/(AJ74))+((L74)/(AK74))+((M74)/(AL74))+((N74)/(AM74))+((O74)/(AN74))+((P74)/(AO74))+((Q74)/(AP74))+((R74)/(AQ74))+((S74)/(AR74))+((T74)/(AS74))+((U74)/(AT74))+((V74)/(AU74))+((W74)/(AV74))+((X74)/(AW74))+((Y74)/(AX74))+((Z74)/(AY74)))))</f>
        <v>0</v>
      </c>
      <c r="S75" s="139">
        <f>100*((((S74)/(AR74))/(((B74)/(AA74))+((C74)/(AB74))+((D74)/(AC74))+((E74)/(AD74))+((F74)/(AE74))+((G74)/(AF74))+((H74)/(AG74))+((I74)/(AH74))+((J74)/(AI74))+((K74)/(AJ74))+((L74)/(AK74))+((M74)/(AL74))+((N74)/(AM74))+((O74)/(AN74))+((P74)/(AO74))+((Q74)/(AP74))+((R74)/(AQ74))+((S74)/(AR74))+((T74)/(AS74))+((U74)/(AT74))+((V74)/(AU74))+((W74)/(AV74))+((X74)/(AW74))+((Y74)/(AX74))+((Z74)/(AY74)))))</f>
        <v>0</v>
      </c>
      <c r="T75" s="139">
        <f>100*((((T74)/(AS74))/(((B74)/(AA74))+((C74)/(AB74))+((D74)/(AC74))+((E74)/(AD74))+((F74)/(AE74))+((G74)/(AF74))+((H74)/(AG74))+((I74)/(AH74))+((J74)/(AI74))+((K74)/(AJ74))+((L74)/(AK74))+((M74)/(AL74))+((N74)/(AM74))+((O74)/(AN74))+((P74)/(AO74))+((Q74)/(AP74))+((R74)/(AQ74))+((S74)/(AR74))+((T74)/(AS74))+((U74)/(AT74))+((V74)/(AU74))+((W74)/(AV74))+((X74)/(AW74))+((Y74)/(AX74))+((Z74)/(AY74)))))</f>
        <v>0</v>
      </c>
      <c r="U75" s="139">
        <f>100*((((U74)/(AT74))/(((B74)/(AA74))+((C74)/(AB74))+((D74)/(AC74))+((E74)/(AD74))+((F74)/(AE74))+((G74)/(AF74))+((H74)/(AG74))+((I74)/(AH74))+((J74)/(AI74))+((K74)/(AJ74))+((L74)/(AK74))+((M74)/(AL74))+((N74)/(AM74))+((O74)/(AN74))+((P74)/(AO74))+((Q74)/(AP74))+((R74)/(AQ74))+((S74)/(AR74))+((T74)/(AS74))+((U74)/(AT74))+((V74)/(AU74))+((W74)/(AV74))+((X74)/(AW74))+((Y74)/(AX74))+((Z74)/(AY74)))))</f>
        <v>0</v>
      </c>
      <c r="V75" s="139">
        <f>100*((((V74)/(AU74))/(((B74)/(AA74))+((C74)/(AB74))+((D74)/(AC74))+((E74)/(AD74))+((F74)/(AE74))+((G74)/(AF74))+((H74)/(AG74))+((I74)/(AH74))+((J74)/(AI74))+((K74)/(AJ74))+((L74)/(AK74))+((M74)/(AL74))+((N74)/(AM74))+((O74)/(AN74))+((P74)/(AO74))+((Q74)/(AP74))+((R74)/(AQ74))+((S74)/(AR74))+((T74)/(AS74))+((U74)/(AT74))+((V74)/(AU74))+((W74)/(AV74))+((X74)/(AW74))+((Y74)/(AX74))+((Z74)/(AY74)))))</f>
        <v>0</v>
      </c>
      <c r="W75" s="139">
        <f>100*((((W74)/(AV74))/(((B74)/(AA74))+((C74)/(AB74))+((D74)/(AC74))+((E74)/(AD74))+((F74)/(AE74))+((G74)/(AF74))+((H74)/(AG74))+((I74)/(AH74))+((J74)/(AI74))+((K74)/(AJ74))+((L74)/(AK74))+((M74)/(AL74))+((N74)/(AM74))+((O74)/(AN74))+((P74)/(AO74))+((Q74)/(AP74))+((R74)/(AQ74))+((S74)/(AR74))+((T74)/(AS74))+((U74)/(AT74))+((V74)/(AU74))+((W74)/(AV74))+((X74)/(AW74))+((Y74)/(AX74))+((Z74)/(AY74)))))</f>
        <v>0</v>
      </c>
      <c r="X75" s="89">
        <f>100*((((X74)/(AW74))/(((B74)/(AA74))+((C74)/(AB74))+((D74)/(AC74))+((E74)/(AD74))+((F74)/(AE74))+((G74)/(AF74))+((H74)/(AG74))+((I74)/(AH74))+((J74)/(AI74))+((K74)/(AJ74))+((L74)/(AK74))+((M74)/(AL74))+((N74)/(AM74))+((O74)/(AN74))+((P74)/(AO74))+((Q74)/(AP74))+((R74)/(AQ74))+((S74)/(AR74))+((T74)/(AS74))+((U74)/(AT74))+((V74)/(AU74))+((W74)/(AV74))+((X74)/(AW74))+((Y74)/(AX74))+((Z74)/(AY74)))))</f>
        <v>0</v>
      </c>
      <c r="Y75" s="89">
        <f>100*((((Y74)/(AX74))/(((B74)/(AA74))+((C74)/(AB74))+((D74)/(AC74))+((E74)/(AD74))+((F74)/(AE74))+((G74)/(AF74))+((H74)/(AG74))+((I74)/(AH74))+((J74)/(AI74))+((K74)/(AJ74))+((L74)/(AK74))+((M74)/(AL74))+((N74)/(AM74))+((O74)/(AN74))+((P74)/(AO74))+((Q74)/(AP74))+((R74)/(AQ74))+((S74)/(AR74))+((T74)/(AS74))+((U74)/(AT74))+((V74)/(AU74))+((W74)/(AV74))+((X74)/(AW74))+((Y74)/(AX74))+((Z74)/(AY74)))))</f>
        <v>0</v>
      </c>
      <c r="Z75" s="89">
        <f>100*((((Z74)/(AY74))/(((B74)/(AA74))+((C74)/(AB74))+((D74)/(AC74))+((E74)/(AD74))+((F74)/(AE74))+((G74)/(AF74))+((H74)/(AG74))+((I74)/(AH74))+((J74)/(AI74))+((K74)/(AJ74))+((L74)/(AK74))+((M74)/(AL74))+((N74)/(AM74))+((O74)/(AN74))+((P74)/(AO74))+((Q74)/(AP74))+((R74)/(AQ74))+((S74)/(AR74))+((T74)/(AS74))+((U74)/(AT74))+((V74)/(AU74))+((W74)/(AV74))+((X74)/(AW74))+((Y74)/(AX74))+((Z74)/(AY74)))))</f>
        <v>0</v>
      </c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</row>
    <row r="76" spans="1:54" ht="21" x14ac:dyDescent="0.35">
      <c r="A76" s="89">
        <f>599-B76</f>
        <v>21.615133806863355</v>
      </c>
      <c r="B76" s="89">
        <f>599*B75/100</f>
        <v>577.38486619313665</v>
      </c>
      <c r="C76" s="89">
        <f>599*C75/100</f>
        <v>2.366145357848886</v>
      </c>
      <c r="D76" s="89">
        <f t="shared" ref="D76:Z76" si="26">599*D75/100</f>
        <v>5.0950309492275458</v>
      </c>
      <c r="E76" s="89">
        <f t="shared" si="26"/>
        <v>0</v>
      </c>
      <c r="F76" s="89">
        <f t="shared" si="26"/>
        <v>0</v>
      </c>
      <c r="G76" s="89">
        <f t="shared" si="26"/>
        <v>4.1499401820065493</v>
      </c>
      <c r="H76" s="89">
        <f t="shared" si="26"/>
        <v>0.16091290940344499</v>
      </c>
      <c r="I76" s="89">
        <f t="shared" si="26"/>
        <v>1.0362447442361594E-2</v>
      </c>
      <c r="J76" s="89">
        <f t="shared" si="26"/>
        <v>0</v>
      </c>
      <c r="K76" s="89">
        <f t="shared" si="26"/>
        <v>4.6106180930526056E-2</v>
      </c>
      <c r="L76" s="89">
        <f t="shared" si="26"/>
        <v>3.6288719406099466</v>
      </c>
      <c r="M76" s="89">
        <f t="shared" si="26"/>
        <v>0</v>
      </c>
      <c r="N76" s="89">
        <f t="shared" si="26"/>
        <v>4.7927423004704837</v>
      </c>
      <c r="O76" s="89">
        <f t="shared" si="26"/>
        <v>1.0388907052818899</v>
      </c>
      <c r="P76" s="89">
        <f t="shared" si="26"/>
        <v>0</v>
      </c>
      <c r="Q76" s="89">
        <f t="shared" si="26"/>
        <v>0.32613083364184847</v>
      </c>
      <c r="R76" s="89">
        <f t="shared" si="26"/>
        <v>0</v>
      </c>
      <c r="S76" s="89">
        <f t="shared" si="26"/>
        <v>0</v>
      </c>
      <c r="T76" s="89">
        <f t="shared" si="26"/>
        <v>0</v>
      </c>
      <c r="U76" s="89">
        <f t="shared" si="26"/>
        <v>0</v>
      </c>
      <c r="V76" s="89">
        <f t="shared" si="26"/>
        <v>0</v>
      </c>
      <c r="W76" s="89">
        <f t="shared" si="26"/>
        <v>0</v>
      </c>
      <c r="X76" s="89">
        <f t="shared" si="26"/>
        <v>0</v>
      </c>
      <c r="Y76" s="89">
        <f t="shared" si="26"/>
        <v>0</v>
      </c>
      <c r="Z76" s="89">
        <f t="shared" si="26"/>
        <v>0</v>
      </c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</row>
    <row r="77" spans="1:54" ht="21" x14ac:dyDescent="0.35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R77" s="4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</row>
    <row r="78" spans="1:54" ht="21" x14ac:dyDescent="0.35">
      <c r="A78" s="89">
        <f>B78+C78+D78+E78+F78+G78+H78+I78+J78+K78+L78+M78+N78+O78+P78+Q78+R78+S78+T78+U78+V78+W78+X78+Y78+Z78</f>
        <v>0</v>
      </c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R78" s="4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</row>
    <row r="79" spans="1:54" ht="21" x14ac:dyDescent="0.35">
      <c r="A79" s="89" t="s">
        <v>218</v>
      </c>
      <c r="B79" s="89">
        <f>K76+O76+U76+Q76+L76+M76+P76+N76</f>
        <v>9.832741960934694</v>
      </c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R79" s="4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</row>
    <row r="80" spans="1:54" ht="21" x14ac:dyDescent="0.35">
      <c r="A80" s="89" t="s">
        <v>237</v>
      </c>
      <c r="B80" s="89">
        <f>C76+D76+G76+H76+I76+J76+E76+F76</f>
        <v>11.782391845928787</v>
      </c>
      <c r="C80" s="89"/>
      <c r="D80" s="89"/>
      <c r="E80" s="89"/>
      <c r="F80" s="89"/>
      <c r="G80" s="89"/>
      <c r="H80" s="89"/>
      <c r="I80" s="89"/>
      <c r="J80" s="89"/>
      <c r="K80" s="89">
        <f>3-O78-U78</f>
        <v>3</v>
      </c>
      <c r="L80" s="89"/>
      <c r="M80" s="89"/>
      <c r="N80" s="89"/>
      <c r="O80" s="89"/>
      <c r="P80" s="89"/>
      <c r="R80" s="4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</row>
    <row r="81" spans="1:54" ht="21" x14ac:dyDescent="0.35">
      <c r="A81" s="89"/>
      <c r="B81" s="179">
        <f>B79+B80</f>
        <v>21.615133806863483</v>
      </c>
      <c r="C81" s="326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R81" s="4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</row>
    <row r="83" spans="1:54" ht="28.5" x14ac:dyDescent="0.45">
      <c r="A83" s="271" t="s">
        <v>294</v>
      </c>
      <c r="B83" s="266" t="s">
        <v>14</v>
      </c>
      <c r="C83" s="266" t="s">
        <v>15</v>
      </c>
      <c r="D83" s="266" t="s">
        <v>8</v>
      </c>
      <c r="E83" s="266" t="s">
        <v>9</v>
      </c>
      <c r="F83" s="266" t="s">
        <v>234</v>
      </c>
      <c r="G83" s="266" t="s">
        <v>56</v>
      </c>
      <c r="H83" s="266" t="s">
        <v>57</v>
      </c>
      <c r="I83" s="266" t="s">
        <v>58</v>
      </c>
      <c r="J83" s="266" t="s">
        <v>77</v>
      </c>
      <c r="K83" s="267" t="s">
        <v>204</v>
      </c>
      <c r="L83" s="266" t="s">
        <v>16</v>
      </c>
      <c r="M83" s="266" t="s">
        <v>13</v>
      </c>
      <c r="N83" s="266" t="s">
        <v>44</v>
      </c>
      <c r="O83" s="266" t="s">
        <v>55</v>
      </c>
      <c r="P83" s="266" t="s">
        <v>17</v>
      </c>
      <c r="Q83" s="266" t="s">
        <v>80</v>
      </c>
      <c r="R83" s="266" t="s">
        <v>81</v>
      </c>
      <c r="S83" s="266" t="s">
        <v>82</v>
      </c>
      <c r="T83" s="266" t="s">
        <v>83</v>
      </c>
      <c r="U83" s="266" t="s">
        <v>45</v>
      </c>
      <c r="V83" s="266" t="s">
        <v>43</v>
      </c>
      <c r="W83" s="266" t="s">
        <v>12</v>
      </c>
      <c r="X83" s="266" t="s">
        <v>0</v>
      </c>
      <c r="Y83" s="266" t="s">
        <v>11</v>
      </c>
      <c r="Z83" s="266" t="s">
        <v>10</v>
      </c>
      <c r="AA83" s="266" t="s">
        <v>14</v>
      </c>
      <c r="AB83" s="266" t="s">
        <v>15</v>
      </c>
      <c r="AC83" s="266" t="s">
        <v>8</v>
      </c>
      <c r="AD83" s="266" t="s">
        <v>9</v>
      </c>
      <c r="AE83" s="266" t="s">
        <v>234</v>
      </c>
      <c r="AF83" s="266" t="s">
        <v>56</v>
      </c>
      <c r="AG83" s="266" t="s">
        <v>57</v>
      </c>
      <c r="AH83" s="266" t="s">
        <v>58</v>
      </c>
      <c r="AI83" s="266" t="s">
        <v>77</v>
      </c>
      <c r="AJ83" s="267" t="s">
        <v>204</v>
      </c>
      <c r="AK83" s="266" t="s">
        <v>16</v>
      </c>
      <c r="AL83" s="266" t="s">
        <v>13</v>
      </c>
      <c r="AM83" s="266" t="s">
        <v>44</v>
      </c>
      <c r="AN83" s="266" t="s">
        <v>55</v>
      </c>
      <c r="AO83" s="266" t="s">
        <v>17</v>
      </c>
      <c r="AP83" s="266" t="s">
        <v>80</v>
      </c>
      <c r="AQ83" s="266" t="s">
        <v>81</v>
      </c>
      <c r="AR83" s="266" t="s">
        <v>82</v>
      </c>
      <c r="AS83" s="266" t="s">
        <v>83</v>
      </c>
      <c r="AT83" s="266" t="s">
        <v>45</v>
      </c>
      <c r="AU83" s="266" t="s">
        <v>43</v>
      </c>
      <c r="AV83" s="266" t="s">
        <v>12</v>
      </c>
      <c r="AW83" s="266" t="s">
        <v>0</v>
      </c>
      <c r="AX83" s="266" t="s">
        <v>11</v>
      </c>
      <c r="AY83" s="266" t="s">
        <v>10</v>
      </c>
      <c r="AZ83" s="89"/>
    </row>
    <row r="84" spans="1:54" ht="21" x14ac:dyDescent="0.35">
      <c r="A84" s="272" t="s">
        <v>289</v>
      </c>
      <c r="B84" s="139">
        <f>100-C84-D84-E84-F84-G84-H84-I84-J84-K84-L84-M84-N84-O84-P84-Q84-R84-S84-T84-U84-V84-W84-X84-Y84-Z84</f>
        <v>97.047499999999999</v>
      </c>
      <c r="C84" s="177">
        <v>0.2</v>
      </c>
      <c r="D84" s="177">
        <v>0.9</v>
      </c>
      <c r="E84" s="177"/>
      <c r="F84" s="177"/>
      <c r="G84" s="177">
        <v>0.13500000000000001</v>
      </c>
      <c r="H84" s="177">
        <v>1.4999999999999999E-2</v>
      </c>
      <c r="I84" s="177">
        <v>1E-3</v>
      </c>
      <c r="J84" s="177"/>
      <c r="K84" s="177">
        <v>1.5E-3</v>
      </c>
      <c r="L84" s="177">
        <v>0.6</v>
      </c>
      <c r="M84" s="177"/>
      <c r="N84" s="177">
        <v>0.75</v>
      </c>
      <c r="O84" s="177">
        <v>0.3</v>
      </c>
      <c r="P84" s="177"/>
      <c r="Q84" s="177">
        <v>0.05</v>
      </c>
      <c r="R84" s="177"/>
      <c r="S84" s="177"/>
      <c r="T84" s="177"/>
      <c r="U84" s="177"/>
      <c r="V84" s="177"/>
      <c r="W84" s="177"/>
      <c r="X84" s="177"/>
      <c r="Y84" s="177"/>
      <c r="Z84" s="177"/>
      <c r="AA84" s="189">
        <v>55.84</v>
      </c>
      <c r="AB84" s="89">
        <v>28.0855</v>
      </c>
      <c r="AC84" s="89">
        <v>58.693399999999997</v>
      </c>
      <c r="AD84" s="89">
        <v>63.545999999999999</v>
      </c>
      <c r="AE84" s="89">
        <v>65.38</v>
      </c>
      <c r="AF84" s="89">
        <v>12.01</v>
      </c>
      <c r="AG84" s="89">
        <v>30.973762000000001</v>
      </c>
      <c r="AH84" s="89">
        <v>32.064999999999998</v>
      </c>
      <c r="AI84" s="89">
        <v>14.0067</v>
      </c>
      <c r="AJ84" s="89">
        <v>10.81</v>
      </c>
      <c r="AK84" s="89">
        <v>54.938043999999998</v>
      </c>
      <c r="AL84" s="89">
        <v>24.305</v>
      </c>
      <c r="AM84" s="89">
        <v>51.996099999999998</v>
      </c>
      <c r="AN84" s="89">
        <v>95.95</v>
      </c>
      <c r="AO84" s="89">
        <v>47.866999999999997</v>
      </c>
      <c r="AP84" s="89">
        <v>50.941499999999998</v>
      </c>
      <c r="AQ84" s="89">
        <v>92.906369999999995</v>
      </c>
      <c r="AR84" s="89">
        <v>183.84</v>
      </c>
      <c r="AS84" s="89">
        <v>180.94788</v>
      </c>
      <c r="AT84" s="89">
        <v>91.224000000000004</v>
      </c>
      <c r="AU84" s="89">
        <v>58.933194999999998</v>
      </c>
      <c r="AV84" s="89">
        <v>26.981539999999999</v>
      </c>
      <c r="AW84" s="89">
        <v>121.76</v>
      </c>
      <c r="AX84" s="89">
        <v>207.2</v>
      </c>
      <c r="AY84" s="89">
        <v>118.71</v>
      </c>
      <c r="AZ84" s="89"/>
    </row>
    <row r="85" spans="1:54" ht="21" x14ac:dyDescent="0.35">
      <c r="A85" s="89" t="s">
        <v>241</v>
      </c>
      <c r="B85" s="139">
        <f>100*((((B84)/(AA84))/(((B84)/(AA84))+((C84)/(AB84))+((D84)/(AC84))+((E84)/(AD84))+((F84)/(AE84))+((G84)/(AF84))+((H84)/(AG84))+((I84)/(AH84))+((J84)/(AI84))+((K84)/(AJ84))+((L84)/(AK84))+((M84)/(AL84))+((N84)/(AM84))+((O84)/(AN84))+((P84)/(AO84))+((Q84)/(AP84))+((R84)/(AQ84))+((S84)/(AR84))+((T84)/(AS84))+((U84)/(AT84))+((V84)/(AU84))+((W84)/(AV84))+((X84)/(AW84))+((Y84)/(AX84))+((Z84)/(AY84)))))</f>
        <v>96.458818906992491</v>
      </c>
      <c r="C85" s="139">
        <f>100*((((C84)/(AB84))/(((B84)/(AA84))+((C84)/(AB84))+((D84)/(AC84))+((E84)/(AD84))+((F84)/(AE84))+((G84)/(AF84))+((H84)/(AG84))+((I84)/(AH84))+((J84)/(AI84))+((K84)/(AJ84))+((L84)/(AK84))+((M84)/(AL84))+((N84)/(AM84))+((O84)/(AN84))+((P84)/(AO84))+((Q84)/(AP84))+((R84)/(AQ84))+((S84)/(AR84))+((T84)/(AS84))+((U84)/(AT84))+((V84)/(AU84))+((W84)/(AV84))+((X84)/(AW84))+((Y84)/(AX84))+((Z84)/(AY84)))))</f>
        <v>0.39523084696841482</v>
      </c>
      <c r="D85" s="139">
        <f>100*((((D84)/(AC84))/(((B84)/(AA84))+((C84)/(AB84))+((D84)/(AC84))+((E84)/(AD84))+((F84)/(AE84))+((G84)/(AF84))+((H84)/(AG84))+((I84)/(AH84))+((J84)/(AI84))+((K84)/(AJ84))+((L84)/(AK84))+((M84)/(AL84))+((N84)/(AM84))+((O84)/(AN84))+((P84)/(AO84))+((Q84)/(AP84))+((R84)/(AQ84))+((S84)/(AR84))+((T84)/(AS84))+((U84)/(AT84))+((V84)/(AU84))+((W84)/(AV84))+((X84)/(AW84))+((Y84)/(AX84))+((Z84)/(AY84)))))</f>
        <v>0.85105227821852814</v>
      </c>
      <c r="E85" s="139">
        <f>100*((((E84)/(AD84))/(((B84)/(AA84))+((C84)/(AB84))+((D84)/(AC84))+((E84)/(AD84))+((F84)/(AE84))+((G84)/(AF84))+((H84)/(AG84))+((I84)/(AH84))+((J84)/(AI84))+((K84)/(AJ84))+((L84)/(AK84))+((M84)/(AL84))+((N84)/(AM84))+((O84)/(AN84))+((P84)/(AO84))+((Q84)/(AP84))+((R84)/(AQ84))+((S84)/(AR84))+((T84)/(AS84))+((U84)/(AT84))+((V84)/(AU84))+((W84)/(AV84))+((X84)/(AW84))+((Y84)/(AX84))+((Z84)/(AY84)))))</f>
        <v>0</v>
      </c>
      <c r="F85" s="139">
        <f>100*((((F84)/(AE84))/(((B84)/(AA84))+((C84)/(AB84))+((D84)/(AC84))+((E84)/(AD84))+((F84)/(AE84))+((G84)/(AF84))+((H84)/(AG84))+((I84)/(AH84))+((J84)/(AI84))+((K84)/(AJ84))+((L84)/(AK84))+((M84)/(AL84))+((N84)/(AM84))+((O84)/(AN84))+((P84)/(AO84))+((Q84)/(AP84))+((R84)/(AQ84))+((S84)/(AR84))+((T84)/(AS84))+((U84)/(AT84))+((V84)/(AU84))+((W84)/(AV84))+((X84)/(AW84))+((Y84)/(AX84))+((Z84)/(AY84)))))</f>
        <v>0</v>
      </c>
      <c r="G85" s="139">
        <f>100*((((G84)/(AF84))/(((B84)/(AA84))+((C84)/(AB84))+((D84)/(AC84))+((E84)/(AD84))+((F84)/(AE84))+((G84)/(AF84))+((H84)/(AG84))+((I84)/(AH84))+((J84)/(AI84))+((K84)/(AJ84))+((L84)/(AK84))+((M84)/(AL84))+((N84)/(AM84))+((O84)/(AN84))+((P84)/(AO84))+((Q84)/(AP84))+((R84)/(AQ84))+((S84)/(AR84))+((T84)/(AS84))+((U84)/(AT84))+((V84)/(AU84))+((W84)/(AV84))+((X84)/(AW84))+((Y84)/(AX84))+((Z84)/(AY84)))))</f>
        <v>0.62386950607482972</v>
      </c>
      <c r="H85" s="139">
        <f>100*((((H84)/(AG84))/(((B84)/(AA84))+((C84)/(AB84))+((D84)/(AC84))+((E84)/(AD84))+((F84)/(AE84))+((G84)/(AF84))+((H84)/(AG84))+((I84)/(AH84))+((J84)/(AI84))+((K84)/(AJ84))+((L84)/(AK84))+((M84)/(AL84))+((N84)/(AM84))+((O84)/(AN84))+((P84)/(AO84))+((Q84)/(AP84))+((R84)/(AQ84))+((S84)/(AR84))+((T84)/(AS84))+((U84)/(AT84))+((V84)/(AU84))+((W84)/(AV84))+((X84)/(AW84))+((Y84)/(AX84))+((Z84)/(AY84)))))</f>
        <v>2.6878207317530753E-2</v>
      </c>
      <c r="I85" s="139">
        <f>100*((((I84)/(AH84))/(((B84)/(AA84))+((C84)/(AB84))+((D84)/(AC84))+((E84)/(AD84))+((F84)/(AE84))+((G84)/(AF84))+((H84)/(AG84))+((I84)/(AH84))+((J84)/(AI84))+((K84)/(AJ84))+((L84)/(AK84))+((M84)/(AL84))+((N84)/(AM84))+((O84)/(AN84))+((P84)/(AO84))+((Q84)/(AP84))+((R84)/(AQ84))+((S84)/(AR84))+((T84)/(AS84))+((U84)/(AT84))+((V84)/(AU84))+((W84)/(AV84))+((X84)/(AW84))+((Y84)/(AX84))+((Z84)/(AY84)))))</f>
        <v>1.7308991037784831E-3</v>
      </c>
      <c r="J85" s="139">
        <f>100*((((J84)/(AI84))/(((B84)/(AA84))+((C84)/(AB84))+((D84)/(AC84))+((E84)/(AD84))+((F84)/(AE84))+((G84)/(AF84))+((H84)/(AG84))+((I84)/(AH84))+((J84)/(AI84))+((K84)/(AJ84))+((L84)/(AK84))+((M84)/(AL84))+((N84)/(AM84))+((O84)/(AN84))+((P84)/(AO84))+((Q84)/(AP84))+((R84)/(AQ84))+((S84)/(AR84))+((T84)/(AS84))+((U84)/(AT84))+((V84)/(AU84))+((W84)/(AV84))+((X84)/(AW84))+((Y84)/(AX84))+((Z84)/(AY84)))))</f>
        <v>0</v>
      </c>
      <c r="K85" s="139">
        <f>100*((((K84)/(AJ84))/(((B84)/(AA84))+((C84)/(AB84))+((D84)/(AC84))+((E84)/(AD84))+((F84)/(AE84))+((G84)/(AF84))+((H84)/(AG84))+((I84)/(AH84))+((J84)/(AI84))+((K84)/(AJ84))+((L84)/(AK84))+((M84)/(AL84))+((N84)/(AM84))+((O84)/(AN84))+((P84)/(AO84))+((Q84)/(AP84))+((R84)/(AQ84))+((S84)/(AR84))+((T84)/(AS84))+((U84)/(AT84))+((V84)/(AU84))+((W84)/(AV84))+((X84)/(AW84))+((Y84)/(AX84))+((Z84)/(AY84)))))</f>
        <v>7.7013801705814611E-3</v>
      </c>
      <c r="L85" s="139">
        <f>100*((((L84)/(AK84))/(((B84)/(AA84))+((C84)/(AB84))+((D84)/(AC84))+((E84)/(AD84))+((F84)/(AE84))+((G84)/(AF84))+((H84)/(AG84))+((I84)/(AH84))+((J84)/(AI84))+((K84)/(AJ84))+((L84)/(AK84))+((M84)/(AL84))+((N84)/(AM84))+((O84)/(AN84))+((P84)/(AO84))+((Q84)/(AP84))+((R84)/(AQ84))+((S84)/(AR84))+((T84)/(AS84))+((U84)/(AT84))+((V84)/(AU84))+((W84)/(AV84))+((X84)/(AW84))+((Y84)/(AX84))+((Z84)/(AY84)))))</f>
        <v>0.60615131943165357</v>
      </c>
      <c r="M85" s="139">
        <f>100*((((M84)/(AL84))/(((B84)/(AA84))+((C84)/(AB84))+((D84)/(AC84))+((E84)/(AD84))+((F84)/(AE84))+((G84)/(AF84))+((H84)/(AG84))+((I84)/(AH84))+((J84)/(AI84))+((K84)/(AJ84))+((L84)/(AK84))+((M84)/(AL84))+((N84)/(AM84))+((O84)/(AN84))+((P84)/(AO84))+((Q84)/(AP84))+((R84)/(AQ84))+((S84)/(AR84))+((T84)/(AS84))+((U84)/(AT84))+((V84)/(AU84))+((W84)/(AV84))+((X84)/(AW84))+((Y84)/(AX84))+((Z84)/(AY84)))))</f>
        <v>0</v>
      </c>
      <c r="N85" s="139">
        <f>100*((((N84)/(AM84))/(((B84)/(AA84))+((C84)/(AB84))+((D84)/(AC84))+((E84)/(AD84))+((F84)/(AE84))+((G84)/(AF84))+((H84)/(AG84))+((I84)/(AH84))+((J84)/(AI84))+((K84)/(AJ84))+((L84)/(AK84))+((M84)/(AL84))+((N84)/(AM84))+((O84)/(AN84))+((P84)/(AO84))+((Q84)/(AP84))+((R84)/(AQ84))+((S84)/(AR84))+((T84)/(AS84))+((U84)/(AT84))+((V84)/(AU84))+((W84)/(AV84))+((X84)/(AW84))+((Y84)/(AX84))+((Z84)/(AY84)))))</f>
        <v>0.80055926929121224</v>
      </c>
      <c r="O85" s="139">
        <f>100*((((O84)/(AN84))/(((B84)/(AA84))+((C84)/(AB84))+((D84)/(AC84))+((E84)/(AD84))+((F84)/(AE84))+((G84)/(AF84))+((H84)/(AG84))+((I84)/(AH84))+((J84)/(AI84))+((K84)/(AJ84))+((L84)/(AK84))+((M84)/(AL84))+((N84)/(AM84))+((O84)/(AN84))+((P84)/(AO84))+((Q84)/(AP84))+((R84)/(AQ84))+((S84)/(AR84))+((T84)/(AS84))+((U84)/(AT84))+((V84)/(AU84))+((W84)/(AV84))+((X84)/(AW84))+((Y84)/(AX84))+((Z84)/(AY84)))))</f>
        <v>0.17353188044603562</v>
      </c>
      <c r="P85" s="139">
        <f>100*((((P84)/(AO84))/(((B84)/(AA84))+((C84)/(AB84))+((D84)/(AC84))+((E84)/(AD84))+((F84)/(AE84))+((G84)/(AF84))+((H84)/(AG84))+((I84)/(AH84))+((J84)/(AI84))+((K84)/(AJ84))+((L84)/(AK84))+((M84)/(AL84))+((N84)/(AM84))+((O84)/(AN84))+((P84)/(AO84))+((Q84)/(AP84))+((R84)/(AQ84))+((S84)/(AR84))+((T84)/(AS84))+((U84)/(AT84))+((V84)/(AU84))+((W84)/(AV84))+((X84)/(AW84))+((Y84)/(AX84))+((Z84)/(AY84)))))</f>
        <v>0</v>
      </c>
      <c r="Q85" s="139">
        <f>100*((((Q84)/(AP84))/(((B84)/(AA84))+((C84)/(AB84))+((D84)/(AC84))+((E84)/(AD84))+((F84)/(AE84))+((G84)/(AF84))+((H84)/(AG84))+((I84)/(AH84))+((J84)/(AI84))+((K84)/(AJ84))+((L84)/(AK84))+((M84)/(AL84))+((N84)/(AM84))+((O84)/(AN84))+((P84)/(AO84))+((Q84)/(AP84))+((R84)/(AQ84))+((S84)/(AR84))+((T84)/(AS84))+((U84)/(AT84))+((V84)/(AU84))+((W84)/(AV84))+((X84)/(AW84))+((Y84)/(AX84))+((Z84)/(AY84)))))</f>
        <v>5.4475505984960267E-2</v>
      </c>
      <c r="R85" s="139">
        <f>100*((((R84)/(AQ84))/(((B84)/(AA84))+((C84)/(AB84))+((D84)/(AC84))+((E84)/(AD84))+((F84)/(AE84))+((G84)/(AF84))+((H84)/(AG84))+((I84)/(AH84))+((J84)/(AI84))+((K84)/(AJ84))+((L84)/(AK84))+((M84)/(AL84))+((N84)/(AM84))+((O84)/(AN84))+((P84)/(AO84))+((Q84)/(AP84))+((R84)/(AQ84))+((S84)/(AR84))+((T84)/(AS84))+((U84)/(AT84))+((V84)/(AU84))+((W84)/(AV84))+((X84)/(AW84))+((Y84)/(AX84))+((Z84)/(AY84)))))</f>
        <v>0</v>
      </c>
      <c r="S85" s="139">
        <f>100*((((S84)/(AR84))/(((B84)/(AA84))+((C84)/(AB84))+((D84)/(AC84))+((E84)/(AD84))+((F84)/(AE84))+((G84)/(AF84))+((H84)/(AG84))+((I84)/(AH84))+((J84)/(AI84))+((K84)/(AJ84))+((L84)/(AK84))+((M84)/(AL84))+((N84)/(AM84))+((O84)/(AN84))+((P84)/(AO84))+((Q84)/(AP84))+((R84)/(AQ84))+((S84)/(AR84))+((T84)/(AS84))+((U84)/(AT84))+((V84)/(AU84))+((W84)/(AV84))+((X84)/(AW84))+((Y84)/(AX84))+((Z84)/(AY84)))))</f>
        <v>0</v>
      </c>
      <c r="T85" s="139">
        <f>100*((((T84)/(AS84))/(((B84)/(AA84))+((C84)/(AB84))+((D84)/(AC84))+((E84)/(AD84))+((F84)/(AE84))+((G84)/(AF84))+((H84)/(AG84))+((I84)/(AH84))+((J84)/(AI84))+((K84)/(AJ84))+((L84)/(AK84))+((M84)/(AL84))+((N84)/(AM84))+((O84)/(AN84))+((P84)/(AO84))+((Q84)/(AP84))+((R84)/(AQ84))+((S84)/(AR84))+((T84)/(AS84))+((U84)/(AT84))+((V84)/(AU84))+((W84)/(AV84))+((X84)/(AW84))+((Y84)/(AX84))+((Z84)/(AY84)))))</f>
        <v>0</v>
      </c>
      <c r="U85" s="139">
        <f>100*((((U84)/(AT84))/(((B84)/(AA84))+((C84)/(AB84))+((D84)/(AC84))+((E84)/(AD84))+((F84)/(AE84))+((G84)/(AF84))+((H84)/(AG84))+((I84)/(AH84))+((J84)/(AI84))+((K84)/(AJ84))+((L84)/(AK84))+((M84)/(AL84))+((N84)/(AM84))+((O84)/(AN84))+((P84)/(AO84))+((Q84)/(AP84))+((R84)/(AQ84))+((S84)/(AR84))+((T84)/(AS84))+((U84)/(AT84))+((V84)/(AU84))+((W84)/(AV84))+((X84)/(AW84))+((Y84)/(AX84))+((Z84)/(AY84)))))</f>
        <v>0</v>
      </c>
      <c r="V85" s="139">
        <f>100*((((V84)/(AU84))/(((B84)/(AA84))+((C84)/(AB84))+((D84)/(AC84))+((E84)/(AD84))+((F84)/(AE84))+((G84)/(AF84))+((H84)/(AG84))+((I84)/(AH84))+((J84)/(AI84))+((K84)/(AJ84))+((L84)/(AK84))+((M84)/(AL84))+((N84)/(AM84))+((O84)/(AN84))+((P84)/(AO84))+((Q84)/(AP84))+((R84)/(AQ84))+((S84)/(AR84))+((T84)/(AS84))+((U84)/(AT84))+((V84)/(AU84))+((W84)/(AV84))+((X84)/(AW84))+((Y84)/(AX84))+((Z84)/(AY84)))))</f>
        <v>0</v>
      </c>
      <c r="W85" s="139">
        <f>100*((((W84)/(AV84))/(((B84)/(AA84))+((C84)/(AB84))+((D84)/(AC84))+((E84)/(AD84))+((F84)/(AE84))+((G84)/(AF84))+((H84)/(AG84))+((I84)/(AH84))+((J84)/(AI84))+((K84)/(AJ84))+((L84)/(AK84))+((M84)/(AL84))+((N84)/(AM84))+((O84)/(AN84))+((P84)/(AO84))+((Q84)/(AP84))+((R84)/(AQ84))+((S84)/(AR84))+((T84)/(AS84))+((U84)/(AT84))+((V84)/(AU84))+((W84)/(AV84))+((X84)/(AW84))+((Y84)/(AX84))+((Z84)/(AY84)))))</f>
        <v>0</v>
      </c>
      <c r="X85" s="89">
        <f>100*((((X84)/(AW84))/(((B84)/(AA84))+((C84)/(AB84))+((D84)/(AC84))+((E84)/(AD84))+((F84)/(AE84))+((G84)/(AF84))+((H84)/(AG84))+((I84)/(AH84))+((J84)/(AI84))+((K84)/(AJ84))+((L84)/(AK84))+((M84)/(AL84))+((N84)/(AM84))+((O84)/(AN84))+((P84)/(AO84))+((Q84)/(AP84))+((R84)/(AQ84))+((S84)/(AR84))+((T84)/(AS84))+((U84)/(AT84))+((V84)/(AU84))+((W84)/(AV84))+((X84)/(AW84))+((Y84)/(AX84))+((Z84)/(AY84)))))</f>
        <v>0</v>
      </c>
      <c r="Y85" s="89">
        <f>100*((((Y84)/(AX84))/(((B84)/(AA84))+((C84)/(AB84))+((D84)/(AC84))+((E84)/(AD84))+((F84)/(AE84))+((G84)/(AF84))+((H84)/(AG84))+((I84)/(AH84))+((J84)/(AI84))+((K84)/(AJ84))+((L84)/(AK84))+((M84)/(AL84))+((N84)/(AM84))+((O84)/(AN84))+((P84)/(AO84))+((Q84)/(AP84))+((R84)/(AQ84))+((S84)/(AR84))+((T84)/(AS84))+((U84)/(AT84))+((V84)/(AU84))+((W84)/(AV84))+((X84)/(AW84))+((Y84)/(AX84))+((Z84)/(AY84)))))</f>
        <v>0</v>
      </c>
      <c r="Z85" s="89">
        <f>100*((((Z84)/(AY84))/(((B84)/(AA84))+((C84)/(AB84))+((D84)/(AC84))+((E84)/(AD84))+((F84)/(AE84))+((G84)/(AF84))+((H84)/(AG84))+((I84)/(AH84))+((J84)/(AI84))+((K84)/(AJ84))+((L84)/(AK84))+((M84)/(AL84))+((N84)/(AM84))+((O84)/(AN84))+((P84)/(AO84))+((Q84)/(AP84))+((R84)/(AQ84))+((S84)/(AR84))+((T84)/(AS84))+((U84)/(AT84))+((V84)/(AU84))+((W84)/(AV84))+((X84)/(AW84))+((Y84)/(AX84))+((Z84)/(AY84)))))</f>
        <v>0</v>
      </c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</row>
    <row r="86" spans="1:54" ht="21" x14ac:dyDescent="0.35">
      <c r="A86" s="89">
        <f>599-B86</f>
        <v>21.211674747115012</v>
      </c>
      <c r="B86" s="89">
        <f>599*B85/100</f>
        <v>577.78832525288499</v>
      </c>
      <c r="C86" s="89">
        <f>599*C85/100</f>
        <v>2.3674327733408047</v>
      </c>
      <c r="D86" s="89">
        <f t="shared" ref="D86:Z86" si="27">599*D85/100</f>
        <v>5.0978031465289835</v>
      </c>
      <c r="E86" s="89">
        <f t="shared" si="27"/>
        <v>0</v>
      </c>
      <c r="F86" s="89">
        <f t="shared" si="27"/>
        <v>0</v>
      </c>
      <c r="G86" s="89">
        <f t="shared" si="27"/>
        <v>3.7369783413882298</v>
      </c>
      <c r="H86" s="89">
        <f t="shared" si="27"/>
        <v>0.1610004618320092</v>
      </c>
      <c r="I86" s="89">
        <f t="shared" si="27"/>
        <v>1.0368085631633115E-2</v>
      </c>
      <c r="J86" s="89">
        <f t="shared" si="27"/>
        <v>0</v>
      </c>
      <c r="K86" s="89">
        <f t="shared" si="27"/>
        <v>4.613126722178295E-2</v>
      </c>
      <c r="L86" s="89">
        <f t="shared" si="27"/>
        <v>3.6308464033956049</v>
      </c>
      <c r="M86" s="89">
        <f t="shared" si="27"/>
        <v>0</v>
      </c>
      <c r="N86" s="89">
        <f t="shared" si="27"/>
        <v>4.7953500230543611</v>
      </c>
      <c r="O86" s="89">
        <f t="shared" si="27"/>
        <v>1.0394559638717533</v>
      </c>
      <c r="P86" s="89">
        <f t="shared" si="27"/>
        <v>0</v>
      </c>
      <c r="Q86" s="89">
        <f t="shared" si="27"/>
        <v>0.32630828084991204</v>
      </c>
      <c r="R86" s="89">
        <f t="shared" si="27"/>
        <v>0</v>
      </c>
      <c r="S86" s="89">
        <f t="shared" si="27"/>
        <v>0</v>
      </c>
      <c r="T86" s="89">
        <f t="shared" si="27"/>
        <v>0</v>
      </c>
      <c r="U86" s="89">
        <f t="shared" si="27"/>
        <v>0</v>
      </c>
      <c r="V86" s="89">
        <f t="shared" si="27"/>
        <v>0</v>
      </c>
      <c r="W86" s="89">
        <f t="shared" si="27"/>
        <v>0</v>
      </c>
      <c r="X86" s="89">
        <f t="shared" si="27"/>
        <v>0</v>
      </c>
      <c r="Y86" s="89">
        <f t="shared" si="27"/>
        <v>0</v>
      </c>
      <c r="Z86" s="89">
        <f t="shared" si="27"/>
        <v>0</v>
      </c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</row>
    <row r="87" spans="1:54" ht="21" x14ac:dyDescent="0.35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>
        <v>1</v>
      </c>
      <c r="R87" s="49">
        <f>Q87*100/599</f>
        <v>0.1669449081803005</v>
      </c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</row>
    <row r="88" spans="1:54" ht="21" x14ac:dyDescent="0.35">
      <c r="A88" s="89">
        <f>B88+C88+D88+E88+F88+G88+H88+I88+J88+K88+L88+M88+N88+O88+P88+Q88+R88+S88+T88+U88+V88+W88+X88+Y88+Z88</f>
        <v>2.333889816360601</v>
      </c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>
        <v>2</v>
      </c>
      <c r="R88" s="49">
        <f t="shared" ref="R88" si="28">Q88*100/599</f>
        <v>0.333889816360601</v>
      </c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</row>
    <row r="89" spans="1:54" ht="21" x14ac:dyDescent="0.35">
      <c r="A89" s="89" t="s">
        <v>218</v>
      </c>
      <c r="B89" s="89">
        <f>K86+O86+U86+Q86+L86+M86+P86+N86</f>
        <v>9.8380919383934149</v>
      </c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>
        <v>3</v>
      </c>
      <c r="R89" s="49">
        <f>Q89*100/599</f>
        <v>0.5008347245409015</v>
      </c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</row>
    <row r="90" spans="1:54" ht="21" x14ac:dyDescent="0.35">
      <c r="A90" s="89" t="s">
        <v>237</v>
      </c>
      <c r="B90" s="89">
        <f>C86+D86+G86+H86+I86+J86+E86+F86</f>
        <v>11.373582808721659</v>
      </c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>
        <v>4</v>
      </c>
      <c r="R90" s="49">
        <f t="shared" ref="R90:R91" si="29">Q90*100/599</f>
        <v>0.667779632721202</v>
      </c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</row>
    <row r="91" spans="1:54" ht="21" x14ac:dyDescent="0.35">
      <c r="A91" s="89"/>
      <c r="B91" s="179">
        <f>B89+B90</f>
        <v>21.211674747115076</v>
      </c>
      <c r="C91" s="272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>
        <v>5</v>
      </c>
      <c r="R91" s="49">
        <f t="shared" si="29"/>
        <v>0.8347245409015025</v>
      </c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</row>
    <row r="92" spans="1:54" ht="21" x14ac:dyDescent="0.35">
      <c r="BA92" s="89"/>
    </row>
    <row r="93" spans="1:54" ht="21" x14ac:dyDescent="0.35">
      <c r="BA93" s="89"/>
    </row>
    <row r="94" spans="1:54" ht="28.5" x14ac:dyDescent="0.45">
      <c r="A94" s="271" t="s">
        <v>298</v>
      </c>
      <c r="B94" s="266" t="s">
        <v>14</v>
      </c>
      <c r="C94" s="266" t="s">
        <v>15</v>
      </c>
      <c r="D94" s="266" t="s">
        <v>8</v>
      </c>
      <c r="E94" s="266" t="s">
        <v>9</v>
      </c>
      <c r="F94" s="266" t="s">
        <v>234</v>
      </c>
      <c r="G94" s="266" t="s">
        <v>56</v>
      </c>
      <c r="H94" s="266" t="s">
        <v>57</v>
      </c>
      <c r="I94" s="266" t="s">
        <v>58</v>
      </c>
      <c r="J94" s="266" t="s">
        <v>77</v>
      </c>
      <c r="K94" s="267" t="s">
        <v>204</v>
      </c>
      <c r="L94" s="266" t="s">
        <v>16</v>
      </c>
      <c r="M94" s="266" t="s">
        <v>13</v>
      </c>
      <c r="N94" s="266" t="s">
        <v>44</v>
      </c>
      <c r="O94" s="266" t="s">
        <v>55</v>
      </c>
      <c r="P94" s="266" t="s">
        <v>17</v>
      </c>
      <c r="Q94" s="266" t="s">
        <v>80</v>
      </c>
      <c r="R94" s="266" t="s">
        <v>81</v>
      </c>
      <c r="S94" s="266" t="s">
        <v>82</v>
      </c>
      <c r="T94" s="266" t="s">
        <v>83</v>
      </c>
      <c r="U94" s="266" t="s">
        <v>45</v>
      </c>
      <c r="V94" s="266" t="s">
        <v>43</v>
      </c>
      <c r="W94" s="266" t="s">
        <v>12</v>
      </c>
      <c r="X94" s="266" t="s">
        <v>0</v>
      </c>
      <c r="Y94" s="266" t="s">
        <v>11</v>
      </c>
      <c r="Z94" s="266" t="s">
        <v>10</v>
      </c>
      <c r="AA94" s="266" t="s">
        <v>14</v>
      </c>
      <c r="AB94" s="266" t="s">
        <v>15</v>
      </c>
      <c r="AC94" s="266" t="s">
        <v>8</v>
      </c>
      <c r="AD94" s="266" t="s">
        <v>9</v>
      </c>
      <c r="AE94" s="266" t="s">
        <v>234</v>
      </c>
      <c r="AF94" s="266" t="s">
        <v>56</v>
      </c>
      <c r="AG94" s="266" t="s">
        <v>57</v>
      </c>
      <c r="AH94" s="266" t="s">
        <v>58</v>
      </c>
      <c r="AI94" s="266" t="s">
        <v>77</v>
      </c>
      <c r="AJ94" s="267" t="s">
        <v>204</v>
      </c>
      <c r="AK94" s="266" t="s">
        <v>16</v>
      </c>
      <c r="AL94" s="266" t="s">
        <v>13</v>
      </c>
      <c r="AM94" s="266" t="s">
        <v>44</v>
      </c>
      <c r="AN94" s="266" t="s">
        <v>55</v>
      </c>
      <c r="AO94" s="266" t="s">
        <v>17</v>
      </c>
      <c r="AP94" s="266" t="s">
        <v>80</v>
      </c>
      <c r="AQ94" s="266" t="s">
        <v>81</v>
      </c>
      <c r="AR94" s="266" t="s">
        <v>82</v>
      </c>
      <c r="AS94" s="266" t="s">
        <v>83</v>
      </c>
      <c r="AT94" s="266" t="s">
        <v>45</v>
      </c>
      <c r="AU94" s="266" t="s">
        <v>43</v>
      </c>
      <c r="AV94" s="266" t="s">
        <v>12</v>
      </c>
      <c r="AW94" s="266" t="s">
        <v>0</v>
      </c>
      <c r="AX94" s="266" t="s">
        <v>11</v>
      </c>
      <c r="AY94" s="266" t="s">
        <v>10</v>
      </c>
      <c r="AZ94" s="89"/>
      <c r="BA94" s="89"/>
    </row>
    <row r="95" spans="1:54" ht="21" x14ac:dyDescent="0.35">
      <c r="A95" s="272" t="s">
        <v>289</v>
      </c>
      <c r="B95" s="139">
        <f>100-C95-D95-E95-F95-G95-H95-I95-J95-K95-L95-M95-N95-O95-P95-Q95-R95-S95-T95-U95-V95-W95-X95-Y95-Z95</f>
        <v>97.057500000000005</v>
      </c>
      <c r="C95" s="177">
        <v>0.5</v>
      </c>
      <c r="D95" s="177">
        <v>1.2</v>
      </c>
      <c r="E95" s="177"/>
      <c r="F95" s="177"/>
      <c r="G95" s="177">
        <v>0.22500000000000001</v>
      </c>
      <c r="H95" s="177">
        <v>1.4999999999999999E-2</v>
      </c>
      <c r="I95" s="177">
        <v>1E-3</v>
      </c>
      <c r="J95" s="177"/>
      <c r="K95" s="177">
        <v>1.5E-3</v>
      </c>
      <c r="L95" s="177">
        <v>0.5</v>
      </c>
      <c r="M95" s="177"/>
      <c r="N95" s="177">
        <v>0.25</v>
      </c>
      <c r="O95" s="177">
        <v>0.25</v>
      </c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  <c r="AA95" s="189">
        <v>55.84</v>
      </c>
      <c r="AB95" s="89">
        <v>28.0855</v>
      </c>
      <c r="AC95" s="89">
        <v>58.693399999999997</v>
      </c>
      <c r="AD95" s="89">
        <v>63.545999999999999</v>
      </c>
      <c r="AE95" s="89">
        <v>65.38</v>
      </c>
      <c r="AF95" s="89">
        <v>12.01</v>
      </c>
      <c r="AG95" s="89">
        <v>30.973762000000001</v>
      </c>
      <c r="AH95" s="89">
        <v>32.064999999999998</v>
      </c>
      <c r="AI95" s="89">
        <v>14.0067</v>
      </c>
      <c r="AJ95" s="89">
        <v>10.81</v>
      </c>
      <c r="AK95" s="89">
        <v>54.938043999999998</v>
      </c>
      <c r="AL95" s="89">
        <v>24.305</v>
      </c>
      <c r="AM95" s="89">
        <v>51.996099999999998</v>
      </c>
      <c r="AN95" s="89">
        <v>95.95</v>
      </c>
      <c r="AO95" s="89">
        <v>47.866999999999997</v>
      </c>
      <c r="AP95" s="89">
        <v>50.941499999999998</v>
      </c>
      <c r="AQ95" s="89">
        <v>92.906369999999995</v>
      </c>
      <c r="AR95" s="89">
        <v>183.84</v>
      </c>
      <c r="AS95" s="89">
        <v>180.94788</v>
      </c>
      <c r="AT95" s="89">
        <v>91.224000000000004</v>
      </c>
      <c r="AU95" s="89">
        <v>58.933194999999998</v>
      </c>
      <c r="AV95" s="89">
        <v>26.981539999999999</v>
      </c>
      <c r="AW95" s="89">
        <v>121.76</v>
      </c>
      <c r="AX95" s="89">
        <v>207.2</v>
      </c>
      <c r="AY95" s="89">
        <v>118.71</v>
      </c>
      <c r="AZ95" s="89"/>
      <c r="BA95" s="89"/>
      <c r="BB95" s="89"/>
    </row>
    <row r="96" spans="1:54" ht="21" x14ac:dyDescent="0.35">
      <c r="A96" s="89" t="s">
        <v>241</v>
      </c>
      <c r="B96" s="139">
        <f>100*((((B95)/(AA95))/(((B95)/(AA95))+((C95)/(AB95))+((D95)/(AC95))+((E95)/(AD95))+((F95)/(AE95))+((G95)/(AF95))+((H95)/(AG95))+((I95)/(AH95))+((J95)/(AI95))+((K95)/(AJ95))+((L95)/(AK95))+((M95)/(AL95))+((N95)/(AM95))+((O95)/(AN95))+((P95)/(AO95))+((Q95)/(AP95))+((R95)/(AQ95))+((S95)/(AR95))+((T95)/(AS95))+((U95)/(AT95))+((V95)/(AU95))+((W95)/(AV95))+((X95)/(AW95))+((Y95)/(AX95))+((Z95)/(AY95)))))</f>
        <v>95.90840969799045</v>
      </c>
      <c r="C96" s="139">
        <f>100*((((C95)/(AB95))/(((B95)/(AA95))+((C95)/(AB95))+((D95)/(AC95))+((E95)/(AD95))+((F95)/(AE95))+((G95)/(AF95))+((H95)/(AG95))+((I95)/(AH95))+((J95)/(AI95))+((K95)/(AJ95))+((L95)/(AK95))+((M95)/(AL95))+((N95)/(AM95))+((O95)/(AN95))+((P95)/(AO95))+((Q95)/(AP95))+((R95)/(AQ95))+((S95)/(AR95))+((T95)/(AS95))+((U95)/(AT95))+((V95)/(AU95))+((W95)/(AV95))+((X95)/(AW95))+((Y95)/(AX95))+((Z95)/(AY95)))))</f>
        <v>0.98233777143975376</v>
      </c>
      <c r="D96" s="139">
        <f>100*((((D95)/(AC95))/(((B95)/(AA95))+((C95)/(AB95))+((D95)/(AC95))+((E95)/(AD95))+((F95)/(AE95))+((G95)/(AF95))+((H95)/(AG95))+((I95)/(AH95))+((J95)/(AI95))+((K95)/(AJ95))+((L95)/(AK95))+((M95)/(AL95))+((N95)/(AM95))+((O95)/(AN95))+((P95)/(AO95))+((Q95)/(AP95))+((R95)/(AQ95))+((S95)/(AR95))+((T95)/(AS95))+((U95)/(AT95))+((V95)/(AU95))+((W95)/(AV95))+((X95)/(AW95))+((Y95)/(AX95))+((Z95)/(AY95)))))</f>
        <v>1.128145139853048</v>
      </c>
      <c r="E96" s="139">
        <f>100*((((E95)/(AD95))/(((B95)/(AA95))+((C95)/(AB95))+((D95)/(AC95))+((E95)/(AD95))+((F95)/(AE95))+((G95)/(AF95))+((H95)/(AG95))+((I95)/(AH95))+((J95)/(AI95))+((K95)/(AJ95))+((L95)/(AK95))+((M95)/(AL95))+((N95)/(AM95))+((O95)/(AN95))+((P95)/(AO95))+((Q95)/(AP95))+((R95)/(AQ95))+((S95)/(AR95))+((T95)/(AS95))+((U95)/(AT95))+((V95)/(AU95))+((W95)/(AV95))+((X95)/(AW95))+((Y95)/(AX95))+((Z95)/(AY95)))))</f>
        <v>0</v>
      </c>
      <c r="F96" s="139">
        <f>100*((((F95)/(AE95))/(((B95)/(AA95))+((C95)/(AB95))+((D95)/(AC95))+((E95)/(AD95))+((F95)/(AE95))+((G95)/(AF95))+((H95)/(AG95))+((I95)/(AH95))+((J95)/(AI95))+((K95)/(AJ95))+((L95)/(AK95))+((M95)/(AL95))+((N95)/(AM95))+((O95)/(AN95))+((P95)/(AO95))+((Q95)/(AP95))+((R95)/(AQ95))+((S95)/(AR95))+((T95)/(AS95))+((U95)/(AT95))+((V95)/(AU95))+((W95)/(AV95))+((X95)/(AW95))+((Y95)/(AX95))+((Z95)/(AY95)))))</f>
        <v>0</v>
      </c>
      <c r="G96" s="139">
        <f>100*((((G95)/(AF95))/(((B95)/(AA95))+((C95)/(AB95))+((D95)/(AC95))+((E95)/(AD95))+((F95)/(AE95))+((G95)/(AF95))+((H95)/(AG95))+((I95)/(AH95))+((J95)/(AI95))+((K95)/(AJ95))+((L95)/(AK95))+((M95)/(AL95))+((N95)/(AM95))+((O95)/(AN95))+((P95)/(AO95))+((Q95)/(AP95))+((R95)/(AQ95))+((S95)/(AR95))+((T95)/(AS95))+((U95)/(AT95))+((V95)/(AU95))+((W95)/(AV95))+((X95)/(AW95))+((Y95)/(AX95))+((Z95)/(AY95)))))</f>
        <v>1.0337428281346412</v>
      </c>
      <c r="H96" s="139">
        <f>100*((((H95)/(AG95))/(((B95)/(AA95))+((C95)/(AB95))+((D95)/(AC95))+((E95)/(AD95))+((F95)/(AE95))+((G95)/(AF95))+((H95)/(AG95))+((I95)/(AH95))+((J95)/(AI95))+((K95)/(AJ95))+((L95)/(AK95))+((M95)/(AL95))+((N95)/(AM95))+((O95)/(AN95))+((P95)/(AO95))+((Q95)/(AP95))+((R95)/(AQ95))+((S95)/(AR95))+((T95)/(AS95))+((U95)/(AT95))+((V95)/(AU95))+((W95)/(AV95))+((X95)/(AW95))+((Y95)/(AX95))+((Z95)/(AY95)))))</f>
        <v>2.6722082528855749E-2</v>
      </c>
      <c r="I96" s="139">
        <f>100*((((I95)/(AH95))/(((B95)/(AA95))+((C95)/(AB95))+((D95)/(AC95))+((E95)/(AD95))+((F95)/(AE95))+((G95)/(AF95))+((H95)/(AG95))+((I95)/(AH95))+((J95)/(AI95))+((K95)/(AJ95))+((L95)/(AK95))+((M95)/(AL95))+((N95)/(AM95))+((O95)/(AN95))+((P95)/(AO95))+((Q95)/(AP95))+((R95)/(AQ95))+((S95)/(AR95))+((T95)/(AS95))+((U95)/(AT95))+((V95)/(AU95))+((W95)/(AV95))+((X95)/(AW95))+((Y95)/(AX95))+((Z95)/(AY95)))))</f>
        <v>1.7208450010772619E-3</v>
      </c>
      <c r="J96" s="139">
        <f>100*((((J95)/(AI95))/(((B95)/(AA95))+((C95)/(AB95))+((D95)/(AC95))+((E95)/(AD95))+((F95)/(AE95))+((G95)/(AF95))+((H95)/(AG95))+((I95)/(AH95))+((J95)/(AI95))+((K95)/(AJ95))+((L95)/(AK95))+((M95)/(AL95))+((N95)/(AM95))+((O95)/(AN95))+((P95)/(AO95))+((Q95)/(AP95))+((R95)/(AQ95))+((S95)/(AR95))+((T95)/(AS95))+((U95)/(AT95))+((V95)/(AU95))+((W95)/(AV95))+((X95)/(AW95))+((Y95)/(AX95))+((Z95)/(AY95)))))</f>
        <v>0</v>
      </c>
      <c r="K96" s="139">
        <f>100*((((K95)/(AJ95))/(((B95)/(AA95))+((C95)/(AB95))+((D95)/(AC95))+((E95)/(AD95))+((F95)/(AE95))+((G95)/(AF95))+((H95)/(AG95))+((I95)/(AH95))+((J95)/(AI95))+((K95)/(AJ95))+((L95)/(AK95))+((M95)/(AL95))+((N95)/(AM95))+((O95)/(AN95))+((P95)/(AO95))+((Q95)/(AP95))+((R95)/(AQ95))+((S95)/(AR95))+((T95)/(AS95))+((U95)/(AT95))+((V95)/(AU95))+((W95)/(AV95))+((X95)/(AW95))+((Y95)/(AX95))+((Z95)/(AY95)))))</f>
        <v>7.6566459240808137E-3</v>
      </c>
      <c r="L96" s="139">
        <f>100*((((L95)/(AK95))/(((B95)/(AA95))+((C95)/(AB95))+((D95)/(AC95))+((E95)/(AD95))+((F95)/(AE95))+((G95)/(AF95))+((H95)/(AG95))+((I95)/(AH95))+((J95)/(AI95))+((K95)/(AJ95))+((L95)/(AK95))+((M95)/(AL95))+((N95)/(AM95))+((O95)/(AN95))+((P95)/(AO95))+((Q95)/(AP95))+((R95)/(AQ95))+((S95)/(AR95))+((T95)/(AS95))+((U95)/(AT95))+((V95)/(AU95))+((W95)/(AV95))+((X95)/(AW95))+((Y95)/(AX95))+((Z95)/(AY95)))))</f>
        <v>0.50219202343227221</v>
      </c>
      <c r="M96" s="139">
        <f>100*((((M95)/(AL95))/(((B95)/(AA95))+((C95)/(AB95))+((D95)/(AC95))+((E95)/(AD95))+((F95)/(AE95))+((G95)/(AF95))+((H95)/(AG95))+((I95)/(AH95))+((J95)/(AI95))+((K95)/(AJ95))+((L95)/(AK95))+((M95)/(AL95))+((N95)/(AM95))+((O95)/(AN95))+((P95)/(AO95))+((Q95)/(AP95))+((R95)/(AQ95))+((S95)/(AR95))+((T95)/(AS95))+((U95)/(AT95))+((V95)/(AU95))+((W95)/(AV95))+((X95)/(AW95))+((Y95)/(AX95))+((Z95)/(AY95)))))</f>
        <v>0</v>
      </c>
      <c r="N96" s="139">
        <f>100*((((N95)/(AM95))/(((B95)/(AA95))+((C95)/(AB95))+((D95)/(AC95))+((E95)/(AD95))+((F95)/(AE95))+((G95)/(AF95))+((H95)/(AG95))+((I95)/(AH95))+((J95)/(AI95))+((K95)/(AJ95))+((L95)/(AK95))+((M95)/(AL95))+((N95)/(AM95))+((O95)/(AN95))+((P95)/(AO95))+((Q95)/(AP95))+((R95)/(AQ95))+((S95)/(AR95))+((T95)/(AS95))+((U95)/(AT95))+((V95)/(AU95))+((W95)/(AV95))+((X95)/(AW95))+((Y95)/(AX95))+((Z95)/(AY95)))))</f>
        <v>0.2653030465724468</v>
      </c>
      <c r="O96" s="139">
        <f>100*((((O95)/(AN95))/(((B95)/(AA95))+((C95)/(AB95))+((D95)/(AC95))+((E95)/(AD95))+((F95)/(AE95))+((G95)/(AF95))+((H95)/(AG95))+((I95)/(AH95))+((J95)/(AI95))+((K95)/(AJ95))+((L95)/(AK95))+((M95)/(AL95))+((N95)/(AM95))+((O95)/(AN95))+((P95)/(AO95))+((Q95)/(AP95))+((R95)/(AQ95))+((S95)/(AR95))+((T95)/(AS95))+((U95)/(AT95))+((V95)/(AU95))+((W95)/(AV95))+((X95)/(AW95))+((Y95)/(AX95))+((Z95)/(AY95)))))</f>
        <v>0.14376991912335177</v>
      </c>
      <c r="P96" s="139">
        <f>100*((((P95)/(AO95))/(((B95)/(AA95))+((C95)/(AB95))+((D95)/(AC95))+((E95)/(AD95))+((F95)/(AE95))+((G95)/(AF95))+((H95)/(AG95))+((I95)/(AH95))+((J95)/(AI95))+((K95)/(AJ95))+((L95)/(AK95))+((M95)/(AL95))+((N95)/(AM95))+((O95)/(AN95))+((P95)/(AO95))+((Q95)/(AP95))+((R95)/(AQ95))+((S95)/(AR95))+((T95)/(AS95))+((U95)/(AT95))+((V95)/(AU95))+((W95)/(AV95))+((X95)/(AW95))+((Y95)/(AX95))+((Z95)/(AY95)))))</f>
        <v>0</v>
      </c>
      <c r="Q96" s="139">
        <f>100*((((Q95)/(AP95))/(((B95)/(AA95))+((C95)/(AB95))+((D95)/(AC95))+((E95)/(AD95))+((F95)/(AE95))+((G95)/(AF95))+((H95)/(AG95))+((I95)/(AH95))+((J95)/(AI95))+((K95)/(AJ95))+((L95)/(AK95))+((M95)/(AL95))+((N95)/(AM95))+((O95)/(AN95))+((P95)/(AO95))+((Q95)/(AP95))+((R95)/(AQ95))+((S95)/(AR95))+((T95)/(AS95))+((U95)/(AT95))+((V95)/(AU95))+((W95)/(AV95))+((X95)/(AW95))+((Y95)/(AX95))+((Z95)/(AY95)))))</f>
        <v>0</v>
      </c>
      <c r="R96" s="139">
        <f>100*((((R95)/(AQ95))/(((B95)/(AA95))+((C95)/(AB95))+((D95)/(AC95))+((E95)/(AD95))+((F95)/(AE95))+((G95)/(AF95))+((H95)/(AG95))+((I95)/(AH95))+((J95)/(AI95))+((K95)/(AJ95))+((L95)/(AK95))+((M95)/(AL95))+((N95)/(AM95))+((O95)/(AN95))+((P95)/(AO95))+((Q95)/(AP95))+((R95)/(AQ95))+((S95)/(AR95))+((T95)/(AS95))+((U95)/(AT95))+((V95)/(AU95))+((W95)/(AV95))+((X95)/(AW95))+((Y95)/(AX95))+((Z95)/(AY95)))))</f>
        <v>0</v>
      </c>
      <c r="S96" s="139">
        <f>100*((((S95)/(AR95))/(((B95)/(AA95))+((C95)/(AB95))+((D95)/(AC95))+((E95)/(AD95))+((F95)/(AE95))+((G95)/(AF95))+((H95)/(AG95))+((I95)/(AH95))+((J95)/(AI95))+((K95)/(AJ95))+((L95)/(AK95))+((M95)/(AL95))+((N95)/(AM95))+((O95)/(AN95))+((P95)/(AO95))+((Q95)/(AP95))+((R95)/(AQ95))+((S95)/(AR95))+((T95)/(AS95))+((U95)/(AT95))+((V95)/(AU95))+((W95)/(AV95))+((X95)/(AW95))+((Y95)/(AX95))+((Z95)/(AY95)))))</f>
        <v>0</v>
      </c>
      <c r="T96" s="139">
        <f>100*((((T95)/(AS95))/(((B95)/(AA95))+((C95)/(AB95))+((D95)/(AC95))+((E95)/(AD95))+((F95)/(AE95))+((G95)/(AF95))+((H95)/(AG95))+((I95)/(AH95))+((J95)/(AI95))+((K95)/(AJ95))+((L95)/(AK95))+((M95)/(AL95))+((N95)/(AM95))+((O95)/(AN95))+((P95)/(AO95))+((Q95)/(AP95))+((R95)/(AQ95))+((S95)/(AR95))+((T95)/(AS95))+((U95)/(AT95))+((V95)/(AU95))+((W95)/(AV95))+((X95)/(AW95))+((Y95)/(AX95))+((Z95)/(AY95)))))</f>
        <v>0</v>
      </c>
      <c r="U96" s="139">
        <f>100*((((U95)/(AT95))/(((B95)/(AA95))+((C95)/(AB95))+((D95)/(AC95))+((E95)/(AD95))+((F95)/(AE95))+((G95)/(AF95))+((H95)/(AG95))+((I95)/(AH95))+((J95)/(AI95))+((K95)/(AJ95))+((L95)/(AK95))+((M95)/(AL95))+((N95)/(AM95))+((O95)/(AN95))+((P95)/(AO95))+((Q95)/(AP95))+((R95)/(AQ95))+((S95)/(AR95))+((T95)/(AS95))+((U95)/(AT95))+((V95)/(AU95))+((W95)/(AV95))+((X95)/(AW95))+((Y95)/(AX95))+((Z95)/(AY95)))))</f>
        <v>0</v>
      </c>
      <c r="V96" s="139">
        <f>100*((((V95)/(AU95))/(((B95)/(AA95))+((C95)/(AB95))+((D95)/(AC95))+((E95)/(AD95))+((F95)/(AE95))+((G95)/(AF95))+((H95)/(AG95))+((I95)/(AH95))+((J95)/(AI95))+((K95)/(AJ95))+((L95)/(AK95))+((M95)/(AL95))+((N95)/(AM95))+((O95)/(AN95))+((P95)/(AO95))+((Q95)/(AP95))+((R95)/(AQ95))+((S95)/(AR95))+((T95)/(AS95))+((U95)/(AT95))+((V95)/(AU95))+((W95)/(AV95))+((X95)/(AW95))+((Y95)/(AX95))+((Z95)/(AY95)))))</f>
        <v>0</v>
      </c>
      <c r="W96" s="139">
        <f>100*((((W95)/(AV95))/(((B95)/(AA95))+((C95)/(AB95))+((D95)/(AC95))+((E95)/(AD95))+((F95)/(AE95))+((G95)/(AF95))+((H95)/(AG95))+((I95)/(AH95))+((J95)/(AI95))+((K95)/(AJ95))+((L95)/(AK95))+((M95)/(AL95))+((N95)/(AM95))+((O95)/(AN95))+((P95)/(AO95))+((Q95)/(AP95))+((R95)/(AQ95))+((S95)/(AR95))+((T95)/(AS95))+((U95)/(AT95))+((V95)/(AU95))+((W95)/(AV95))+((X95)/(AW95))+((Y95)/(AX95))+((Z95)/(AY95)))))</f>
        <v>0</v>
      </c>
      <c r="X96" s="89">
        <f>100*((((X95)/(AW95))/(((B95)/(AA95))+((C95)/(AB95))+((D95)/(AC95))+((E95)/(AD95))+((F95)/(AE95))+((G95)/(AF95))+((H95)/(AG95))+((I95)/(AH95))+((J95)/(AI95))+((K95)/(AJ95))+((L95)/(AK95))+((M95)/(AL95))+((N95)/(AM95))+((O95)/(AN95))+((P95)/(AO95))+((Q95)/(AP95))+((R95)/(AQ95))+((S95)/(AR95))+((T95)/(AS95))+((U95)/(AT95))+((V95)/(AU95))+((W95)/(AV95))+((X95)/(AW95))+((Y95)/(AX95))+((Z95)/(AY95)))))</f>
        <v>0</v>
      </c>
      <c r="Y96" s="89">
        <f>100*((((Y95)/(AX95))/(((B95)/(AA95))+((C95)/(AB95))+((D95)/(AC95))+((E95)/(AD95))+((F95)/(AE95))+((G95)/(AF95))+((H95)/(AG95))+((I95)/(AH95))+((J95)/(AI95))+((K95)/(AJ95))+((L95)/(AK95))+((M95)/(AL95))+((N95)/(AM95))+((O95)/(AN95))+((P95)/(AO95))+((Q95)/(AP95))+((R95)/(AQ95))+((S95)/(AR95))+((T95)/(AS95))+((U95)/(AT95))+((V95)/(AU95))+((W95)/(AV95))+((X95)/(AW95))+((Y95)/(AX95))+((Z95)/(AY95)))))</f>
        <v>0</v>
      </c>
      <c r="Z96" s="89">
        <f>100*((((Z95)/(AY95))/(((B95)/(AA95))+((C95)/(AB95))+((D95)/(AC95))+((E95)/(AD95))+((F95)/(AE95))+((G95)/(AF95))+((H95)/(AG95))+((I95)/(AH95))+((J95)/(AI95))+((K95)/(AJ95))+((L95)/(AK95))+((M95)/(AL95))+((N95)/(AM95))+((O95)/(AN95))+((P95)/(AO95))+((Q95)/(AP95))+((R95)/(AQ95))+((S95)/(AR95))+((T95)/(AS95))+((U95)/(AT95))+((V95)/(AU95))+((W95)/(AV95))+((X95)/(AW95))+((Y95)/(AX95))+((Z95)/(AY95)))))</f>
        <v>0</v>
      </c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  <c r="AP96" s="89"/>
      <c r="AQ96" s="89"/>
      <c r="AR96" s="89"/>
      <c r="AS96" s="89"/>
      <c r="AT96" s="89"/>
      <c r="AU96" s="89"/>
      <c r="AV96" s="89"/>
      <c r="AW96" s="89"/>
      <c r="AX96" s="89"/>
      <c r="AY96" s="89"/>
      <c r="AZ96" s="89"/>
      <c r="BA96" s="89"/>
      <c r="BB96" s="89"/>
    </row>
    <row r="97" spans="1:54" ht="21" x14ac:dyDescent="0.35">
      <c r="A97" s="89">
        <f>599-B97</f>
        <v>24.508625909037164</v>
      </c>
      <c r="B97" s="89">
        <f>599*B96/100</f>
        <v>574.49137409096284</v>
      </c>
      <c r="C97" s="89">
        <f>599*C96/100</f>
        <v>5.8842032509241253</v>
      </c>
      <c r="D97" s="89">
        <f t="shared" ref="D97:Z97" si="30">599*D96/100</f>
        <v>6.7575893877197579</v>
      </c>
      <c r="E97" s="89">
        <f t="shared" si="30"/>
        <v>0</v>
      </c>
      <c r="F97" s="89">
        <f t="shared" si="30"/>
        <v>0</v>
      </c>
      <c r="G97" s="89">
        <f t="shared" si="30"/>
        <v>6.1921195405265008</v>
      </c>
      <c r="H97" s="89">
        <f t="shared" si="30"/>
        <v>0.16006527434784595</v>
      </c>
      <c r="I97" s="89">
        <f t="shared" si="30"/>
        <v>1.03078615564528E-2</v>
      </c>
      <c r="J97" s="89">
        <f t="shared" si="30"/>
        <v>0</v>
      </c>
      <c r="K97" s="89">
        <f t="shared" si="30"/>
        <v>4.5863309085244074E-2</v>
      </c>
      <c r="L97" s="89">
        <f t="shared" si="30"/>
        <v>3.0081302203593108</v>
      </c>
      <c r="M97" s="89">
        <f t="shared" si="30"/>
        <v>0</v>
      </c>
      <c r="N97" s="89">
        <f t="shared" si="30"/>
        <v>1.5891652489689563</v>
      </c>
      <c r="O97" s="89">
        <f t="shared" si="30"/>
        <v>0.86118181554887707</v>
      </c>
      <c r="P97" s="89">
        <f t="shared" si="30"/>
        <v>0</v>
      </c>
      <c r="Q97" s="89">
        <f t="shared" si="30"/>
        <v>0</v>
      </c>
      <c r="R97" s="89">
        <f t="shared" si="30"/>
        <v>0</v>
      </c>
      <c r="S97" s="89">
        <f t="shared" si="30"/>
        <v>0</v>
      </c>
      <c r="T97" s="89">
        <f t="shared" si="30"/>
        <v>0</v>
      </c>
      <c r="U97" s="89">
        <f t="shared" si="30"/>
        <v>0</v>
      </c>
      <c r="V97" s="89">
        <f t="shared" si="30"/>
        <v>0</v>
      </c>
      <c r="W97" s="89">
        <f t="shared" si="30"/>
        <v>0</v>
      </c>
      <c r="X97" s="89">
        <f t="shared" si="30"/>
        <v>0</v>
      </c>
      <c r="Y97" s="89">
        <f t="shared" si="30"/>
        <v>0</v>
      </c>
      <c r="Z97" s="89">
        <f t="shared" si="30"/>
        <v>0</v>
      </c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89"/>
      <c r="AP97" s="89"/>
      <c r="AQ97" s="89"/>
      <c r="AR97" s="89"/>
      <c r="AS97" s="89"/>
      <c r="AT97" s="89"/>
      <c r="AU97" s="89"/>
      <c r="AV97" s="89"/>
      <c r="AW97" s="89"/>
      <c r="AX97" s="89"/>
      <c r="AY97" s="89"/>
      <c r="AZ97" s="89"/>
      <c r="BA97" s="89"/>
      <c r="BB97" s="89"/>
    </row>
    <row r="98" spans="1:54" ht="21" x14ac:dyDescent="0.35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R98" s="4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89"/>
      <c r="AP98" s="89"/>
      <c r="AQ98" s="89"/>
      <c r="AR98" s="89"/>
      <c r="AS98" s="89"/>
      <c r="AT98" s="89"/>
      <c r="AU98" s="89"/>
      <c r="AV98" s="89"/>
      <c r="AW98" s="89"/>
      <c r="AX98" s="89"/>
      <c r="AY98" s="89"/>
      <c r="AZ98" s="89"/>
      <c r="BA98" s="89"/>
      <c r="BB98" s="89"/>
    </row>
    <row r="99" spans="1:54" ht="21" x14ac:dyDescent="0.35">
      <c r="A99" s="89">
        <f>B99+C99+D99+E99+F99+G99+H99+I99+J99+K99+L99+M99+N99+O99+P99+Q99+R99+S99+T99+U99+V99+W99+X99+Y99+Z99</f>
        <v>0</v>
      </c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R99" s="4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89"/>
      <c r="AQ99" s="89"/>
      <c r="AR99" s="89"/>
      <c r="AS99" s="89"/>
      <c r="AT99" s="89"/>
      <c r="AU99" s="89"/>
      <c r="AV99" s="89"/>
      <c r="AW99" s="89"/>
      <c r="AX99" s="89"/>
      <c r="AY99" s="89"/>
      <c r="AZ99" s="89"/>
      <c r="BA99" s="89"/>
      <c r="BB99" s="89"/>
    </row>
    <row r="100" spans="1:54" ht="21" x14ac:dyDescent="0.35">
      <c r="A100" s="89" t="s">
        <v>218</v>
      </c>
      <c r="B100" s="89">
        <f>K97+O97+U97+Q97+L97+M97+P97+N97</f>
        <v>5.5043405939623877</v>
      </c>
      <c r="C100" s="89">
        <v>6</v>
      </c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R100" s="4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  <c r="AJ100" s="89"/>
      <c r="AK100" s="89"/>
      <c r="AL100" s="89"/>
      <c r="AM100" s="89"/>
      <c r="AN100" s="89"/>
      <c r="AO100" s="89"/>
      <c r="AP100" s="89"/>
      <c r="AQ100" s="89"/>
      <c r="AR100" s="89"/>
      <c r="AS100" s="89"/>
      <c r="AT100" s="89"/>
      <c r="AU100" s="89"/>
      <c r="AV100" s="89"/>
      <c r="AW100" s="89"/>
      <c r="AX100" s="89"/>
      <c r="AY100" s="89"/>
      <c r="AZ100" s="89"/>
      <c r="BA100" s="89"/>
      <c r="BB100" s="89"/>
    </row>
    <row r="101" spans="1:54" ht="21" x14ac:dyDescent="0.35">
      <c r="A101" s="89" t="s">
        <v>237</v>
      </c>
      <c r="B101" s="89">
        <f>C97+D97+G97+H97+I97+J97+E97+F97</f>
        <v>19.004285315074682</v>
      </c>
      <c r="C101" s="89" t="s">
        <v>296</v>
      </c>
      <c r="D101" s="89"/>
      <c r="E101" s="89"/>
      <c r="F101" s="89"/>
      <c r="G101" s="89"/>
      <c r="H101" s="89"/>
      <c r="I101" s="89"/>
      <c r="J101" s="89"/>
      <c r="K101" s="89">
        <f>3-O99-U99</f>
        <v>3</v>
      </c>
      <c r="L101" s="89"/>
      <c r="M101" s="89"/>
      <c r="N101" s="89"/>
      <c r="O101" s="89"/>
      <c r="P101" s="89"/>
      <c r="R101" s="4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89"/>
      <c r="AQ101" s="89"/>
      <c r="AR101" s="89"/>
      <c r="AS101" s="89"/>
      <c r="AT101" s="89"/>
      <c r="AU101" s="89"/>
      <c r="AV101" s="89"/>
      <c r="AW101" s="89"/>
      <c r="AX101" s="89"/>
      <c r="AY101" s="89"/>
      <c r="AZ101" s="89"/>
      <c r="BA101" s="89"/>
      <c r="BB101" s="89"/>
    </row>
    <row r="102" spans="1:54" ht="21" x14ac:dyDescent="0.35">
      <c r="A102" s="89"/>
      <c r="B102" s="179">
        <f>B100+B101</f>
        <v>24.508625909037072</v>
      </c>
      <c r="C102" s="272" t="s">
        <v>249</v>
      </c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R102" s="4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  <c r="AP102" s="89"/>
      <c r="AQ102" s="89"/>
      <c r="AR102" s="89"/>
      <c r="AS102" s="89"/>
      <c r="AT102" s="89"/>
      <c r="AU102" s="89"/>
      <c r="AV102" s="89"/>
      <c r="AW102" s="89"/>
      <c r="AX102" s="89"/>
      <c r="AY102" s="89"/>
      <c r="AZ102" s="89"/>
      <c r="BA102" s="89"/>
      <c r="BB102" s="89"/>
    </row>
    <row r="103" spans="1:54" ht="21" x14ac:dyDescent="0.35">
      <c r="BA103" s="89"/>
      <c r="BB103" s="89"/>
    </row>
    <row r="104" spans="1:54" ht="21" x14ac:dyDescent="0.35">
      <c r="BA104" s="89"/>
      <c r="BB104" s="89"/>
    </row>
    <row r="105" spans="1:54" ht="28.5" x14ac:dyDescent="0.45">
      <c r="A105" s="265"/>
      <c r="B105" s="266" t="s">
        <v>14</v>
      </c>
      <c r="C105" s="266" t="s">
        <v>15</v>
      </c>
      <c r="D105" s="266" t="s">
        <v>8</v>
      </c>
      <c r="E105" s="266" t="s">
        <v>9</v>
      </c>
      <c r="F105" s="266" t="s">
        <v>234</v>
      </c>
      <c r="G105" s="266" t="s">
        <v>56</v>
      </c>
      <c r="H105" s="266" t="s">
        <v>57</v>
      </c>
      <c r="I105" s="266" t="s">
        <v>58</v>
      </c>
      <c r="J105" s="266" t="s">
        <v>77</v>
      </c>
      <c r="K105" s="267" t="s">
        <v>204</v>
      </c>
      <c r="L105" s="266" t="s">
        <v>16</v>
      </c>
      <c r="M105" s="266" t="s">
        <v>13</v>
      </c>
      <c r="N105" s="266" t="s">
        <v>44</v>
      </c>
      <c r="O105" s="266" t="s">
        <v>55</v>
      </c>
      <c r="P105" s="266" t="s">
        <v>17</v>
      </c>
      <c r="Q105" s="266" t="s">
        <v>80</v>
      </c>
      <c r="R105" s="266" t="s">
        <v>81</v>
      </c>
      <c r="S105" s="266" t="s">
        <v>82</v>
      </c>
      <c r="T105" s="266" t="s">
        <v>83</v>
      </c>
      <c r="U105" s="266" t="s">
        <v>45</v>
      </c>
      <c r="V105" s="266" t="s">
        <v>43</v>
      </c>
      <c r="W105" s="266" t="s">
        <v>12</v>
      </c>
      <c r="X105" s="266" t="s">
        <v>0</v>
      </c>
      <c r="Y105" s="266" t="s">
        <v>11</v>
      </c>
      <c r="Z105" s="266" t="s">
        <v>10</v>
      </c>
      <c r="AA105" s="211" t="s">
        <v>14</v>
      </c>
      <c r="AB105" s="212" t="s">
        <v>15</v>
      </c>
      <c r="AC105" s="213" t="s">
        <v>8</v>
      </c>
      <c r="AD105" s="214" t="s">
        <v>9</v>
      </c>
      <c r="AE105" s="213" t="s">
        <v>234</v>
      </c>
      <c r="AF105" s="213" t="s">
        <v>56</v>
      </c>
      <c r="AG105" s="214" t="s">
        <v>57</v>
      </c>
      <c r="AH105" s="213" t="s">
        <v>58</v>
      </c>
      <c r="AI105" s="215" t="s">
        <v>77</v>
      </c>
      <c r="AJ105" s="216" t="s">
        <v>204</v>
      </c>
      <c r="AK105" s="216" t="s">
        <v>16</v>
      </c>
      <c r="AL105" s="210" t="s">
        <v>13</v>
      </c>
      <c r="AM105" s="215" t="s">
        <v>44</v>
      </c>
      <c r="AN105" s="216" t="s">
        <v>55</v>
      </c>
      <c r="AO105" s="210" t="s">
        <v>17</v>
      </c>
      <c r="AP105" s="210" t="s">
        <v>80</v>
      </c>
      <c r="AQ105" s="210" t="s">
        <v>81</v>
      </c>
      <c r="AR105" s="210" t="s">
        <v>82</v>
      </c>
      <c r="AS105" s="210" t="s">
        <v>83</v>
      </c>
      <c r="AT105" s="210" t="s">
        <v>45</v>
      </c>
      <c r="AU105" s="210" t="s">
        <v>43</v>
      </c>
      <c r="AV105" s="210" t="s">
        <v>12</v>
      </c>
      <c r="AW105" s="210" t="s">
        <v>0</v>
      </c>
      <c r="AX105" s="210" t="s">
        <v>11</v>
      </c>
      <c r="AY105" s="210" t="s">
        <v>10</v>
      </c>
      <c r="BA105" s="89"/>
      <c r="BB105" s="89"/>
    </row>
    <row r="106" spans="1:54" ht="28.5" x14ac:dyDescent="0.45">
      <c r="A106" s="271" t="s">
        <v>297</v>
      </c>
      <c r="B106" s="269">
        <f>100-C106-D106-E106-F106-G106-H106-I106-J106-K106-L106-M106-N106-O106-P106-Q106-R106-S106-T106-U106-V106-W106-X106-Y106-Z106</f>
        <v>97.207499999999996</v>
      </c>
      <c r="C106" s="270">
        <v>0.5</v>
      </c>
      <c r="D106" s="270">
        <v>1.2</v>
      </c>
      <c r="E106" s="270"/>
      <c r="F106" s="270"/>
      <c r="G106" s="270">
        <v>0.27500000000000002</v>
      </c>
      <c r="H106" s="270">
        <v>1.4999999999999999E-2</v>
      </c>
      <c r="I106" s="270">
        <v>1E-3</v>
      </c>
      <c r="J106" s="270"/>
      <c r="K106" s="270">
        <v>1.5E-3</v>
      </c>
      <c r="L106" s="270">
        <v>0.35</v>
      </c>
      <c r="M106" s="270"/>
      <c r="N106" s="270">
        <v>0.2</v>
      </c>
      <c r="O106" s="270">
        <v>0.25</v>
      </c>
      <c r="P106" s="270"/>
      <c r="Q106" s="270"/>
      <c r="R106" s="270"/>
      <c r="S106" s="270"/>
      <c r="T106" s="270"/>
      <c r="U106" s="270"/>
      <c r="V106" s="270"/>
      <c r="W106" s="270"/>
      <c r="X106" s="270"/>
      <c r="Y106" s="270"/>
      <c r="Z106" s="270"/>
      <c r="AA106" s="219">
        <v>55.84</v>
      </c>
      <c r="AB106" s="219">
        <v>28.0855</v>
      </c>
      <c r="AC106" s="219">
        <v>58.693399999999997</v>
      </c>
      <c r="AD106" s="219">
        <v>63.545999999999999</v>
      </c>
      <c r="AE106" s="219">
        <v>65.38</v>
      </c>
      <c r="AF106" s="219">
        <v>12.01</v>
      </c>
      <c r="AG106" s="219">
        <v>30.973762000000001</v>
      </c>
      <c r="AH106" s="219">
        <v>32.064999999999998</v>
      </c>
      <c r="AI106" s="219">
        <v>14.0067</v>
      </c>
      <c r="AJ106" s="219">
        <v>10.81</v>
      </c>
      <c r="AK106" s="219">
        <v>54.938043999999998</v>
      </c>
      <c r="AL106" s="219">
        <v>24.305</v>
      </c>
      <c r="AM106" s="219">
        <v>51.996099999999998</v>
      </c>
      <c r="AN106" s="219">
        <v>95.95</v>
      </c>
      <c r="AO106" s="220">
        <v>47.866999999999997</v>
      </c>
      <c r="AP106" s="220">
        <v>50.941499999999998</v>
      </c>
      <c r="AQ106" s="220">
        <v>92.906369999999995</v>
      </c>
      <c r="AR106" s="220">
        <v>183.84</v>
      </c>
      <c r="AS106" s="220">
        <v>180.94788</v>
      </c>
      <c r="AT106" s="220">
        <v>91.224000000000004</v>
      </c>
      <c r="AU106" s="220">
        <v>58.933194999999998</v>
      </c>
      <c r="AV106" s="220">
        <v>26.981539999999999</v>
      </c>
      <c r="AW106" s="219">
        <v>121.76</v>
      </c>
      <c r="AX106" s="219">
        <v>207.2</v>
      </c>
      <c r="AY106" s="219">
        <v>118.71</v>
      </c>
      <c r="BA106" s="89"/>
      <c r="BB106" s="89"/>
    </row>
    <row r="107" spans="1:54" ht="28.5" x14ac:dyDescent="0.45">
      <c r="A107" s="265"/>
      <c r="B107" s="269">
        <f>100*((((B106)/(AA106))/(((B106)/(AA106))+((C106)/(AB106))+((D106)/(AC106))+((E106)/(AD106))+((F106)/(AE106))+((G106)/(AF106))+((H106)/(AG106))+((I106)/(AH106))+((J106)/(AI106))+((K106)/(AJ106))+((L106)/(AK106))+((M106)/(AL106))+((N106)/(AM106))+((O106)/(AN106))+((P106)/(AO106))+((Q106)/(AP106))+((R106)/(AQ106))+((S106)/(AR106))+((T106)/(AS106))+((U106)/(AT106))+((V106)/(AU106))+((W106)/(AV106))+((X106)/(AW106))+((Y106)/(AX106))+((Z106)/(AY106)))))</f>
        <v>95.889568747233483</v>
      </c>
      <c r="C107" s="269">
        <f>100*((((C106)/(AB106))/(((B106)/(AA106))+((C106)/(AB106))+((D106)/(AC106))+((E106)/(AD106))+((F106)/(AE106))+((G106)/(AF106))+((H106)/(AG106))+((I106)/(AH106))+((J106)/(AI106))+((K106)/(AJ106))+((L106)/(AK106))+((M106)/(AL106))+((N106)/(AM106))+((O106)/(AN106))+((P106)/(AO106))+((Q106)/(AP106))+((R106)/(AQ106))+((S106)/(AR106))+((T106)/(AS106))+((U106)/(AT106))+((V106)/(AU106))+((W106)/(AV106))+((X106)/(AW106))+((Y106)/(AX106))+((Z106)/(AY106)))))</f>
        <v>0.98062925520368915</v>
      </c>
      <c r="D107" s="269">
        <f>100*((((D106)/(AC106))/(((B106)/(AA106))+((C106)/(AB106))+((D106)/(AC106))+((E106)/(AD106))+((F106)/(AE106))+((G106)/(AF106))+((H106)/(AG106))+((I106)/(AH106))+((J106)/(AI106))+((K106)/(AJ106))+((L106)/(AK106))+((M106)/(AL106))+((N106)/(AM106))+((O106)/(AN106))+((P106)/(AO106))+((Q106)/(AP106))+((R106)/(AQ106))+((S106)/(AR106))+((T106)/(AS106))+((U106)/(AT106))+((V106)/(AU106))+((W106)/(AV106))+((X106)/(AW106))+((Y106)/(AX106))+((Z106)/(AY106)))))</f>
        <v>1.1261830303382614</v>
      </c>
      <c r="E107" s="269">
        <f>100*((((E106)/(AD106))/(((B106)/(AA106))+((C106)/(AB106))+((D106)/(AC106))+((E106)/(AD106))+((F106)/(AE106))+((G106)/(AF106))+((H106)/(AG106))+((I106)/(AH106))+((J106)/(AI106))+((K106)/(AJ106))+((L106)/(AK106))+((M106)/(AL106))+((N106)/(AM106))+((O106)/(AN106))+((P106)/(AO106))+((Q106)/(AP106))+((R106)/(AQ106))+((S106)/(AR106))+((T106)/(AS106))+((U106)/(AT106))+((V106)/(AU106))+((W106)/(AV106))+((X106)/(AW106))+((Y106)/(AX106))+((Z106)/(AY106)))))</f>
        <v>0</v>
      </c>
      <c r="F107" s="269">
        <f>100*((((F106)/(AE106))/(((B106)/(AA106))+((C106)/(AB106))+((D106)/(AC106))+((E106)/(AD106))+((F106)/(AE106))+((G106)/(AF106))+((H106)/(AG106))+((I106)/(AH106))+((J106)/(AI106))+((K106)/(AJ106))+((L106)/(AK106))+((M106)/(AL106))+((N106)/(AM106))+((O106)/(AN106))+((P106)/(AO106))+((Q106)/(AP106))+((R106)/(AQ106))+((S106)/(AR106))+((T106)/(AS106))+((U106)/(AT106))+((V106)/(AU106))+((W106)/(AV106))+((X106)/(AW106))+((Y106)/(AX106))+((Z106)/(AY106)))))</f>
        <v>0</v>
      </c>
      <c r="G107" s="269">
        <f>100*((((G106)/(AF106))/(((B106)/(AA106))+((C106)/(AB106))+((D106)/(AC106))+((E106)/(AD106))+((F106)/(AE106))+((G106)/(AF106))+((H106)/(AG106))+((I106)/(AH106))+((J106)/(AI106))+((K106)/(AJ106))+((L106)/(AK106))+((M106)/(AL106))+((N106)/(AM106))+((O106)/(AN106))+((P106)/(AO106))+((Q106)/(AP106))+((R106)/(AQ106))+((S106)/(AR106))+((T106)/(AS106))+((U106)/(AT106))+((V106)/(AU106))+((W106)/(AV106))+((X106)/(AW106))+((Y106)/(AX106))+((Z106)/(AY106)))))</f>
        <v>1.2612659967412798</v>
      </c>
      <c r="H107" s="269">
        <f>100*((((H106)/(AG106))/(((B106)/(AA106))+((C106)/(AB106))+((D106)/(AC106))+((E106)/(AD106))+((F106)/(AE106))+((G106)/(AF106))+((H106)/(AG106))+((I106)/(AH106))+((J106)/(AI106))+((K106)/(AJ106))+((L106)/(AK106))+((M106)/(AL106))+((N106)/(AM106))+((O106)/(AN106))+((P106)/(AO106))+((Q106)/(AP106))+((R106)/(AQ106))+((S106)/(AR106))+((T106)/(AS106))+((U106)/(AT106))+((V106)/(AU106))+((W106)/(AV106))+((X106)/(AW106))+((Y106)/(AX106))+((Z106)/(AY106)))))</f>
        <v>2.6675606547590068E-2</v>
      </c>
      <c r="I107" s="269">
        <f>100*((((I106)/(AH106))/(((B106)/(AA106))+((C106)/(AB106))+((D106)/(AC106))+((E106)/(AD106))+((F106)/(AE106))+((G106)/(AF106))+((H106)/(AG106))+((I106)/(AH106))+((J106)/(AI106))+((K106)/(AJ106))+((L106)/(AK106))+((M106)/(AL106))+((N106)/(AM106))+((O106)/(AN106))+((P106)/(AO106))+((Q106)/(AP106))+((R106)/(AQ106))+((S106)/(AR106))+((T106)/(AS106))+((U106)/(AT106))+((V106)/(AU106))+((W106)/(AV106))+((X106)/(AW106))+((Y106)/(AX106))+((Z106)/(AY106)))))</f>
        <v>1.7178520472180393E-3</v>
      </c>
      <c r="J107" s="269">
        <f>100*((((J106)/(AI106))/(((B106)/(AA106))+((C106)/(AB106))+((D106)/(AC106))+((E106)/(AD106))+((F106)/(AE106))+((G106)/(AF106))+((H106)/(AG106))+((I106)/(AH106))+((J106)/(AI106))+((K106)/(AJ106))+((L106)/(AK106))+((M106)/(AL106))+((N106)/(AM106))+((O106)/(AN106))+((P106)/(AO106))+((Q106)/(AP106))+((R106)/(AQ106))+((S106)/(AR106))+((T106)/(AS106))+((U106)/(AT106))+((V106)/(AU106))+((W106)/(AV106))+((X106)/(AW106))+((Y106)/(AX106))+((Z106)/(AY106)))))</f>
        <v>0</v>
      </c>
      <c r="K107" s="269">
        <f>100*((((K106)/(AJ106))/(((B106)/(AA106))+((C106)/(AB106))+((D106)/(AC106))+((E106)/(AD106))+((F106)/(AE106))+((G106)/(AF106))+((H106)/(AG106))+((I106)/(AH106))+((J106)/(AI106))+((K106)/(AJ106))+((L106)/(AK106))+((M106)/(AL106))+((N106)/(AM106))+((O106)/(AN106))+((P106)/(AO106))+((Q106)/(AP106))+((R106)/(AQ106))+((S106)/(AR106))+((T106)/(AS106))+((U106)/(AT106))+((V106)/(AU106))+((W106)/(AV106))+((X106)/(AW106))+((Y106)/(AX106))+((Z106)/(AY106)))))</f>
        <v>7.643329217490254E-3</v>
      </c>
      <c r="L107" s="269">
        <f>100*((((L106)/(AK106))/(((B106)/(AA106))+((C106)/(AB106))+((D106)/(AC106))+((E106)/(AD106))+((F106)/(AE106))+((G106)/(AF106))+((H106)/(AG106))+((I106)/(AH106))+((J106)/(AI106))+((K106)/(AJ106))+((L106)/(AK106))+((M106)/(AL106))+((N106)/(AM106))+((O106)/(AN106))+((P106)/(AO106))+((Q106)/(AP106))+((R106)/(AQ106))+((S106)/(AR106))+((T106)/(AS106))+((U106)/(AT106))+((V106)/(AU106))+((W106)/(AV106))+((X106)/(AW106))+((Y106)/(AX106))+((Z106)/(AY106)))))</f>
        <v>0.3509230154411076</v>
      </c>
      <c r="M107" s="269">
        <f>100*((((M106)/(AL106))/(((B106)/(AA106))+((C106)/(AB106))+((D106)/(AC106))+((E106)/(AD106))+((F106)/(AE106))+((G106)/(AF106))+((H106)/(AG106))+((I106)/(AH106))+((J106)/(AI106))+((K106)/(AJ106))+((L106)/(AK106))+((M106)/(AL106))+((N106)/(AM106))+((O106)/(AN106))+((P106)/(AO106))+((Q106)/(AP106))+((R106)/(AQ106))+((S106)/(AR106))+((T106)/(AS106))+((U106)/(AT106))+((V106)/(AU106))+((W106)/(AV106))+((X106)/(AW106))+((Y106)/(AX106))+((Z106)/(AY106)))))</f>
        <v>0</v>
      </c>
      <c r="N107" s="269">
        <f>100*((((N106)/(AM106))/(((B106)/(AA106))+((C106)/(AB106))+((D106)/(AC106))+((E106)/(AD106))+((F106)/(AE106))+((G106)/(AF106))+((H106)/(AG106))+((I106)/(AH106))+((J106)/(AI106))+((K106)/(AJ106))+((L106)/(AK106))+((M106)/(AL106))+((N106)/(AM106))+((O106)/(AN106))+((P106)/(AO106))+((Q106)/(AP106))+((R106)/(AQ106))+((S106)/(AR106))+((T106)/(AS106))+((U106)/(AT106))+((V106)/(AU106))+((W106)/(AV106))+((X106)/(AW106))+((Y106)/(AX106))+((Z106)/(AY106)))))</f>
        <v>0.2118732977821276</v>
      </c>
      <c r="O107" s="269">
        <f>100*((((O106)/(AN106))/(((B106)/(AA106))+((C106)/(AB106))+((D106)/(AC106))+((E106)/(AD106))+((F106)/(AE106))+((G106)/(AF106))+((H106)/(AG106))+((I106)/(AH106))+((J106)/(AI106))+((K106)/(AJ106))+((L106)/(AK106))+((M106)/(AL106))+((N106)/(AM106))+((O106)/(AN106))+((P106)/(AO106))+((Q106)/(AP106))+((R106)/(AQ106))+((S106)/(AR106))+((T106)/(AS106))+((U106)/(AT106))+((V106)/(AU106))+((W106)/(AV106))+((X106)/(AW106))+((Y106)/(AX106))+((Z106)/(AY106)))))</f>
        <v>0.14351986944774994</v>
      </c>
      <c r="P107" s="269">
        <f>100*((((P106)/(AO106))/(((B106)/(AA106))+((C106)/(AB106))+((D106)/(AC106))+((E106)/(AD106))+((F106)/(AE106))+((G106)/(AF106))+((H106)/(AG106))+((I106)/(AH106))+((J106)/(AI106))+((K106)/(AJ106))+((L106)/(AK106))+((M106)/(AL106))+((N106)/(AM106))+((O106)/(AN106))+((P106)/(AO106))+((Q106)/(AP106))+((R106)/(AQ106))+((S106)/(AR106))+((T106)/(AS106))+((U106)/(AT106))+((V106)/(AU106))+((W106)/(AV106))+((X106)/(AW106))+((Y106)/(AX106))+((Z106)/(AY106)))))</f>
        <v>0</v>
      </c>
      <c r="Q107" s="269">
        <f>100*((((Q106)/(AP106))/(((B106)/(AA106))+((C106)/(AB106))+((D106)/(AC106))+((E106)/(AD106))+((F106)/(AE106))+((G106)/(AF106))+((H106)/(AG106))+((I106)/(AH106))+((J106)/(AI106))+((K106)/(AJ106))+((L106)/(AK106))+((M106)/(AL106))+((N106)/(AM106))+((O106)/(AN106))+((P106)/(AO106))+((Q106)/(AP106))+((R106)/(AQ106))+((S106)/(AR106))+((T106)/(AS106))+((U106)/(AT106))+((V106)/(AU106))+((W106)/(AV106))+((X106)/(AW106))+((Y106)/(AX106))+((Z106)/(AY106)))))</f>
        <v>0</v>
      </c>
      <c r="R107" s="269">
        <f>100*((((R106)/(AQ106))/(((B106)/(AA106))+((C106)/(AB106))+((D106)/(AC106))+((E106)/(AD106))+((F106)/(AE106))+((G106)/(AF106))+((H106)/(AG106))+((I106)/(AH106))+((J106)/(AI106))+((K106)/(AJ106))+((L106)/(AK106))+((M106)/(AL106))+((N106)/(AM106))+((O106)/(AN106))+((P106)/(AO106))+((Q106)/(AP106))+((R106)/(AQ106))+((S106)/(AR106))+((T106)/(AS106))+((U106)/(AT106))+((V106)/(AU106))+((W106)/(AV106))+((X106)/(AW106))+((Y106)/(AX106))+((Z106)/(AY106)))))</f>
        <v>0</v>
      </c>
      <c r="S107" s="269">
        <f>100*((((S106)/(AR106))/(((B106)/(AA106))+((C106)/(AB106))+((D106)/(AC106))+((E106)/(AD106))+((F106)/(AE106))+((G106)/(AF106))+((H106)/(AG106))+((I106)/(AH106))+((J106)/(AI106))+((K106)/(AJ106))+((L106)/(AK106))+((M106)/(AL106))+((N106)/(AM106))+((O106)/(AN106))+((P106)/(AO106))+((Q106)/(AP106))+((R106)/(AQ106))+((S106)/(AR106))+((T106)/(AS106))+((U106)/(AT106))+((V106)/(AU106))+((W106)/(AV106))+((X106)/(AW106))+((Y106)/(AX106))+((Z106)/(AY106)))))</f>
        <v>0</v>
      </c>
      <c r="T107" s="269">
        <f>100*((((T106)/(AS106))/(((B106)/(AA106))+((C106)/(AB106))+((D106)/(AC106))+((E106)/(AD106))+((F106)/(AE106))+((G106)/(AF106))+((H106)/(AG106))+((I106)/(AH106))+((J106)/(AI106))+((K106)/(AJ106))+((L106)/(AK106))+((M106)/(AL106))+((N106)/(AM106))+((O106)/(AN106))+((P106)/(AO106))+((Q106)/(AP106))+((R106)/(AQ106))+((S106)/(AR106))+((T106)/(AS106))+((U106)/(AT106))+((V106)/(AU106))+((W106)/(AV106))+((X106)/(AW106))+((Y106)/(AX106))+((Z106)/(AY106)))))</f>
        <v>0</v>
      </c>
      <c r="U107" s="269">
        <f>100*((((U106)/(AT106))/(((B106)/(AA106))+((C106)/(AB106))+((D106)/(AC106))+((E106)/(AD106))+((F106)/(AE106))+((G106)/(AF106))+((H106)/(AG106))+((I106)/(AH106))+((J106)/(AI106))+((K106)/(AJ106))+((L106)/(AK106))+((M106)/(AL106))+((N106)/(AM106))+((O106)/(AN106))+((P106)/(AO106))+((Q106)/(AP106))+((R106)/(AQ106))+((S106)/(AR106))+((T106)/(AS106))+((U106)/(AT106))+((V106)/(AU106))+((W106)/(AV106))+((X106)/(AW106))+((Y106)/(AX106))+((Z106)/(AY106)))))</f>
        <v>0</v>
      </c>
      <c r="V107" s="269">
        <f>100*((((V106)/(AU106))/(((B106)/(AA106))+((C106)/(AB106))+((D106)/(AC106))+((E106)/(AD106))+((F106)/(AE106))+((G106)/(AF106))+((H106)/(AG106))+((I106)/(AH106))+((J106)/(AI106))+((K106)/(AJ106))+((L106)/(AK106))+((M106)/(AL106))+((N106)/(AM106))+((O106)/(AN106))+((P106)/(AO106))+((Q106)/(AP106))+((R106)/(AQ106))+((S106)/(AR106))+((T106)/(AS106))+((U106)/(AT106))+((V106)/(AU106))+((W106)/(AV106))+((X106)/(AW106))+((Y106)/(AX106))+((Z106)/(AY106)))))</f>
        <v>0</v>
      </c>
      <c r="W107" s="269">
        <f>100*((((W106)/(AV106))/(((B106)/(AA106))+((C106)/(AB106))+((D106)/(AC106))+((E106)/(AD106))+((F106)/(AE106))+((G106)/(AF106))+((H106)/(AG106))+((I106)/(AH106))+((J106)/(AI106))+((K106)/(AJ106))+((L106)/(AK106))+((M106)/(AL106))+((N106)/(AM106))+((O106)/(AN106))+((P106)/(AO106))+((Q106)/(AP106))+((R106)/(AQ106))+((S106)/(AR106))+((T106)/(AS106))+((U106)/(AT106))+((V106)/(AU106))+((W106)/(AV106))+((X106)/(AW106))+((Y106)/(AX106))+((Z106)/(AY106)))))</f>
        <v>0</v>
      </c>
      <c r="X107" s="265">
        <f>100*((((X106)/(AW106))/(((B106)/(AA106))+((C106)/(AB106))+((D106)/(AC106))+((E106)/(AD106))+((F106)/(AE106))+((G106)/(AF106))+((H106)/(AG106))+((I106)/(AH106))+((J106)/(AI106))+((K106)/(AJ106))+((L106)/(AK106))+((M106)/(AL106))+((N106)/(AM106))+((O106)/(AN106))+((P106)/(AO106))+((Q106)/(AP106))+((R106)/(AQ106))+((S106)/(AR106))+((T106)/(AS106))+((U106)/(AT106))+((V106)/(AU106))+((W106)/(AV106))+((X106)/(AW106))+((Y106)/(AX106))+((Z106)/(AY106)))))</f>
        <v>0</v>
      </c>
      <c r="Y107" s="265">
        <f>100*((((Y106)/(AX106))/(((B106)/(AA106))+((C106)/(AB106))+((D106)/(AC106))+((E106)/(AD106))+((F106)/(AE106))+((G106)/(AF106))+((H106)/(AG106))+((I106)/(AH106))+((J106)/(AI106))+((K106)/(AJ106))+((L106)/(AK106))+((M106)/(AL106))+((N106)/(AM106))+((O106)/(AN106))+((P106)/(AO106))+((Q106)/(AP106))+((R106)/(AQ106))+((S106)/(AR106))+((T106)/(AS106))+((U106)/(AT106))+((V106)/(AU106))+((W106)/(AV106))+((X106)/(AW106))+((Y106)/(AX106))+((Z106)/(AY106)))))</f>
        <v>0</v>
      </c>
      <c r="Z107" s="265">
        <f>100*((((Z106)/(AY106))/(((B106)/(AA106))+((C106)/(AB106))+((D106)/(AC106))+((E106)/(AD106))+((F106)/(AE106))+((G106)/(AF106))+((H106)/(AG106))+((I106)/(AH106))+((J106)/(AI106))+((K106)/(AJ106))+((L106)/(AK106))+((M106)/(AL106))+((N106)/(AM106))+((O106)/(AN106))+((P106)/(AO106))+((Q106)/(AP106))+((R106)/(AQ106))+((S106)/(AR106))+((T106)/(AS106))+((U106)/(AT106))+((V106)/(AU106))+((W106)/(AV106))+((X106)/(AW106))+((Y106)/(AX106))+((Z106)/(AY106)))))</f>
        <v>0</v>
      </c>
      <c r="AA107" s="89"/>
      <c r="AB107" s="89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  <c r="AN107" s="89"/>
      <c r="AO107" s="89"/>
      <c r="AP107" s="89"/>
      <c r="AQ107" s="89"/>
      <c r="AR107" s="89"/>
      <c r="AS107" s="89"/>
      <c r="AT107" s="89"/>
      <c r="AU107" s="89"/>
      <c r="AV107" s="89"/>
      <c r="AW107" s="89"/>
      <c r="AX107" s="89"/>
      <c r="AY107" s="89"/>
      <c r="BA107" s="89"/>
      <c r="BB107" s="89"/>
    </row>
    <row r="108" spans="1:54" ht="28.5" x14ac:dyDescent="0.45">
      <c r="A108" s="265">
        <f>599-B108</f>
        <v>24.62148320407141</v>
      </c>
      <c r="B108" s="265">
        <f>599*B107/100</f>
        <v>574.37851679592859</v>
      </c>
      <c r="C108" s="265">
        <f>599*C107/100</f>
        <v>5.8739692386700986</v>
      </c>
      <c r="D108" s="265">
        <f t="shared" ref="D108:Z108" si="31">599*D107/100</f>
        <v>6.7458363517261857</v>
      </c>
      <c r="E108" s="265">
        <f t="shared" si="31"/>
        <v>0</v>
      </c>
      <c r="F108" s="265">
        <f t="shared" si="31"/>
        <v>0</v>
      </c>
      <c r="G108" s="265">
        <f>599*G107/100</f>
        <v>7.5549833204802654</v>
      </c>
      <c r="H108" s="265">
        <f t="shared" si="31"/>
        <v>0.15978688322006451</v>
      </c>
      <c r="I108" s="265">
        <f t="shared" si="31"/>
        <v>1.0289933762836056E-2</v>
      </c>
      <c r="J108" s="265">
        <f t="shared" si="31"/>
        <v>0</v>
      </c>
      <c r="K108" s="265">
        <f t="shared" si="31"/>
        <v>4.5783542012766618E-2</v>
      </c>
      <c r="L108" s="265">
        <f t="shared" si="31"/>
        <v>2.1020288624922343</v>
      </c>
      <c r="M108" s="265">
        <f t="shared" si="31"/>
        <v>0</v>
      </c>
      <c r="N108" s="265">
        <f t="shared" si="31"/>
        <v>1.2691210537149444</v>
      </c>
      <c r="O108" s="265">
        <f t="shared" si="31"/>
        <v>0.8596840179920221</v>
      </c>
      <c r="P108" s="265">
        <f t="shared" si="31"/>
        <v>0</v>
      </c>
      <c r="Q108" s="265">
        <f t="shared" si="31"/>
        <v>0</v>
      </c>
      <c r="R108" s="265">
        <f t="shared" si="31"/>
        <v>0</v>
      </c>
      <c r="S108" s="265">
        <f t="shared" si="31"/>
        <v>0</v>
      </c>
      <c r="T108" s="265">
        <f t="shared" si="31"/>
        <v>0</v>
      </c>
      <c r="U108" s="265">
        <f t="shared" si="31"/>
        <v>0</v>
      </c>
      <c r="V108" s="265">
        <f t="shared" si="31"/>
        <v>0</v>
      </c>
      <c r="W108" s="265">
        <f t="shared" si="31"/>
        <v>0</v>
      </c>
      <c r="X108" s="265">
        <f t="shared" si="31"/>
        <v>0</v>
      </c>
      <c r="Y108" s="265">
        <f t="shared" si="31"/>
        <v>0</v>
      </c>
      <c r="Z108" s="265">
        <f t="shared" si="31"/>
        <v>0</v>
      </c>
      <c r="AA108" s="89"/>
      <c r="AB108" s="89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89"/>
      <c r="AN108" s="89"/>
      <c r="AO108" s="89"/>
      <c r="AP108" s="89"/>
      <c r="AQ108" s="89"/>
      <c r="AR108" s="89"/>
      <c r="AS108" s="89"/>
      <c r="AT108" s="89"/>
      <c r="AU108" s="89"/>
      <c r="AV108" s="89"/>
      <c r="AW108" s="89"/>
      <c r="AX108" s="89"/>
      <c r="AY108" s="89"/>
      <c r="BB108" s="89"/>
    </row>
    <row r="109" spans="1:54" ht="21" x14ac:dyDescent="0.35"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  <c r="AN109" s="89"/>
      <c r="AO109" s="89"/>
      <c r="AP109" s="89"/>
      <c r="AQ109" s="89"/>
      <c r="AR109" s="89"/>
      <c r="AS109" s="89"/>
      <c r="AT109" s="89"/>
      <c r="AU109" s="89"/>
      <c r="AV109" s="89"/>
      <c r="AW109" s="89"/>
      <c r="AX109" s="89"/>
      <c r="AY109" s="89"/>
      <c r="BB109" s="89"/>
    </row>
    <row r="110" spans="1:54" ht="21" x14ac:dyDescent="0.35">
      <c r="A110" s="89">
        <f>B110+C110+D110+E110+F110+G110+H110+I110+J110+K110+L110+M110+N110+O110+P110+Q110+R110+S110+T110+U110+V110+W110+X110+Y110+Z110</f>
        <v>174</v>
      </c>
      <c r="B110" s="89"/>
      <c r="C110" s="89">
        <v>6</v>
      </c>
      <c r="D110" s="89"/>
      <c r="E110" s="89"/>
      <c r="F110" s="89"/>
      <c r="G110" s="89">
        <v>76</v>
      </c>
      <c r="H110" s="89"/>
      <c r="I110" s="89"/>
      <c r="J110" s="89"/>
      <c r="K110" s="89"/>
      <c r="L110" s="89">
        <v>4</v>
      </c>
      <c r="M110" s="89"/>
      <c r="N110" s="89">
        <v>88</v>
      </c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  <c r="AN110" s="89"/>
      <c r="AO110" s="89"/>
      <c r="AP110" s="89"/>
      <c r="AQ110" s="89"/>
      <c r="AR110" s="89"/>
      <c r="AS110" s="89"/>
      <c r="AT110" s="89"/>
      <c r="AU110" s="89"/>
      <c r="AV110" s="89"/>
      <c r="AW110" s="89"/>
      <c r="AX110" s="89"/>
      <c r="AY110" s="89"/>
      <c r="BB110" s="89"/>
    </row>
    <row r="111" spans="1:54" ht="21" x14ac:dyDescent="0.35">
      <c r="A111" s="89" t="s">
        <v>218</v>
      </c>
      <c r="B111" s="89">
        <f>K108+O108+U108+Q108+L108+M108+P108+N108</f>
        <v>4.2766174762119675</v>
      </c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89"/>
      <c r="AQ111" s="89"/>
      <c r="AR111" s="89"/>
      <c r="AS111" s="89"/>
      <c r="AT111" s="89"/>
      <c r="AU111" s="89"/>
      <c r="AV111" s="89"/>
      <c r="AW111" s="89"/>
      <c r="AX111" s="89"/>
      <c r="AY111" s="89"/>
      <c r="BB111" s="89"/>
    </row>
    <row r="112" spans="1:54" ht="21" x14ac:dyDescent="0.35">
      <c r="A112" s="89" t="s">
        <v>219</v>
      </c>
      <c r="B112" s="89">
        <f>C108+D108+G108+H108+I108+E108+F108</f>
        <v>20.34486572785945</v>
      </c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  <c r="AN112" s="89"/>
      <c r="AO112" s="89"/>
      <c r="AP112" s="89"/>
      <c r="AQ112" s="89"/>
      <c r="AR112" s="89"/>
      <c r="AS112" s="89"/>
      <c r="AT112" s="89"/>
      <c r="AU112" s="89"/>
      <c r="AV112" s="89"/>
      <c r="AW112" s="89"/>
      <c r="AX112" s="89"/>
      <c r="AY112" s="89"/>
      <c r="BB112" s="89"/>
    </row>
    <row r="113" spans="1:54" ht="21" x14ac:dyDescent="0.35">
      <c r="A113" s="89"/>
      <c r="B113" s="179">
        <f>B111+B112</f>
        <v>24.621483204071417</v>
      </c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  <c r="AH113" s="89"/>
      <c r="AI113" s="89"/>
      <c r="AJ113" s="89"/>
      <c r="AK113" s="89"/>
      <c r="AL113" s="89"/>
      <c r="AM113" s="89"/>
      <c r="AN113" s="89"/>
      <c r="AO113" s="89"/>
      <c r="AP113" s="89"/>
      <c r="AQ113" s="89"/>
      <c r="AR113" s="89"/>
      <c r="AS113" s="89"/>
      <c r="AT113" s="89"/>
      <c r="AU113" s="89"/>
      <c r="AV113" s="89"/>
      <c r="AW113" s="89"/>
      <c r="AX113" s="89"/>
      <c r="AY113" s="89"/>
      <c r="BB113" s="89"/>
    </row>
    <row r="114" spans="1:54" ht="21" x14ac:dyDescent="0.35">
      <c r="A114" s="89"/>
      <c r="B114" s="89">
        <f>SUM(C114:Z114)</f>
        <v>0</v>
      </c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/>
      <c r="AJ114" s="89"/>
      <c r="AK114" s="89"/>
      <c r="AL114" s="89"/>
      <c r="AM114" s="89"/>
      <c r="AN114" s="89"/>
      <c r="AO114" s="89"/>
      <c r="AP114" s="89"/>
      <c r="AQ114" s="89"/>
      <c r="AR114" s="89"/>
      <c r="AS114" s="89"/>
      <c r="AT114" s="89"/>
      <c r="AU114" s="89"/>
      <c r="AV114" s="89"/>
      <c r="AW114" s="89"/>
      <c r="AX114" s="89"/>
      <c r="AY114" s="89"/>
      <c r="BB114" s="89"/>
    </row>
    <row r="115" spans="1:54" ht="28.5" x14ac:dyDescent="0.45">
      <c r="A115" s="271" t="s">
        <v>299</v>
      </c>
      <c r="B115" s="266" t="s">
        <v>14</v>
      </c>
      <c r="C115" s="266" t="s">
        <v>15</v>
      </c>
      <c r="D115" s="266" t="s">
        <v>8</v>
      </c>
      <c r="E115" s="266" t="s">
        <v>9</v>
      </c>
      <c r="F115" s="266" t="s">
        <v>234</v>
      </c>
      <c r="G115" s="266" t="s">
        <v>56</v>
      </c>
      <c r="H115" s="266" t="s">
        <v>57</v>
      </c>
      <c r="I115" s="266" t="s">
        <v>58</v>
      </c>
      <c r="J115" s="266" t="s">
        <v>77</v>
      </c>
      <c r="K115" s="267" t="s">
        <v>204</v>
      </c>
      <c r="L115" s="266" t="s">
        <v>16</v>
      </c>
      <c r="M115" s="266" t="s">
        <v>13</v>
      </c>
      <c r="N115" s="266" t="s">
        <v>44</v>
      </c>
      <c r="O115" s="266" t="s">
        <v>55</v>
      </c>
      <c r="P115" s="266" t="s">
        <v>17</v>
      </c>
      <c r="Q115" s="266" t="s">
        <v>80</v>
      </c>
      <c r="R115" s="266" t="s">
        <v>81</v>
      </c>
      <c r="S115" s="266" t="s">
        <v>82</v>
      </c>
      <c r="T115" s="266" t="s">
        <v>83</v>
      </c>
      <c r="U115" s="266" t="s">
        <v>45</v>
      </c>
      <c r="V115" s="266" t="s">
        <v>43</v>
      </c>
      <c r="W115" s="266" t="s">
        <v>12</v>
      </c>
      <c r="X115" s="266" t="s">
        <v>0</v>
      </c>
      <c r="Y115" s="266" t="s">
        <v>11</v>
      </c>
      <c r="Z115" s="266" t="s">
        <v>10</v>
      </c>
      <c r="AA115" s="266" t="s">
        <v>14</v>
      </c>
      <c r="AB115" s="266" t="s">
        <v>15</v>
      </c>
      <c r="AC115" s="266" t="s">
        <v>8</v>
      </c>
      <c r="AD115" s="266" t="s">
        <v>9</v>
      </c>
      <c r="AE115" s="266" t="s">
        <v>234</v>
      </c>
      <c r="AF115" s="266" t="s">
        <v>56</v>
      </c>
      <c r="AG115" s="266" t="s">
        <v>57</v>
      </c>
      <c r="AH115" s="266" t="s">
        <v>58</v>
      </c>
      <c r="AI115" s="266" t="s">
        <v>77</v>
      </c>
      <c r="AJ115" s="267" t="s">
        <v>204</v>
      </c>
      <c r="AK115" s="266" t="s">
        <v>16</v>
      </c>
      <c r="AL115" s="266" t="s">
        <v>13</v>
      </c>
      <c r="AM115" s="266" t="s">
        <v>44</v>
      </c>
      <c r="AN115" s="266" t="s">
        <v>55</v>
      </c>
      <c r="AO115" s="266" t="s">
        <v>17</v>
      </c>
      <c r="AP115" s="266" t="s">
        <v>80</v>
      </c>
      <c r="AQ115" s="266" t="s">
        <v>81</v>
      </c>
      <c r="AR115" s="266" t="s">
        <v>82</v>
      </c>
      <c r="AS115" s="266" t="s">
        <v>83</v>
      </c>
      <c r="AT115" s="266" t="s">
        <v>45</v>
      </c>
      <c r="AU115" s="266" t="s">
        <v>43</v>
      </c>
      <c r="AV115" s="266" t="s">
        <v>12</v>
      </c>
      <c r="AW115" s="266" t="s">
        <v>0</v>
      </c>
      <c r="AX115" s="266" t="s">
        <v>11</v>
      </c>
      <c r="AY115" s="266" t="s">
        <v>10</v>
      </c>
      <c r="BB115" s="89"/>
    </row>
    <row r="116" spans="1:54" ht="28.5" x14ac:dyDescent="0.45">
      <c r="A116" s="294" t="s">
        <v>275</v>
      </c>
      <c r="B116" s="269">
        <f>100-C116-D116-E116-F116-G116-H116-I116-J116-K116-L116-M116-N116-O116-P116-Q116-R116-S116-T116-U116-V116-W116-X116-Y116-Z116</f>
        <v>96.03</v>
      </c>
      <c r="C116" s="177">
        <v>0.5</v>
      </c>
      <c r="D116" s="177">
        <v>2.25</v>
      </c>
      <c r="E116" s="177"/>
      <c r="F116" s="177"/>
      <c r="G116" s="177">
        <v>0.2525</v>
      </c>
      <c r="H116" s="177">
        <v>1.4999999999999999E-2</v>
      </c>
      <c r="I116" s="177">
        <v>1E-3</v>
      </c>
      <c r="J116" s="177"/>
      <c r="K116" s="177">
        <v>1.5E-3</v>
      </c>
      <c r="L116" s="177">
        <v>0.5</v>
      </c>
      <c r="M116" s="177"/>
      <c r="N116" s="177">
        <v>0.2</v>
      </c>
      <c r="O116" s="177">
        <v>0.25</v>
      </c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  <c r="AA116" s="189">
        <v>55.84</v>
      </c>
      <c r="AB116" s="89">
        <v>28.0855</v>
      </c>
      <c r="AC116" s="89">
        <v>58.693399999999997</v>
      </c>
      <c r="AD116" s="89">
        <v>63.545999999999999</v>
      </c>
      <c r="AE116" s="89">
        <v>65.38</v>
      </c>
      <c r="AF116" s="89">
        <v>12.01</v>
      </c>
      <c r="AG116" s="89">
        <v>30.973762000000001</v>
      </c>
      <c r="AH116" s="89">
        <v>32.064999999999998</v>
      </c>
      <c r="AI116" s="89">
        <v>14.0067</v>
      </c>
      <c r="AJ116" s="89">
        <v>10.81</v>
      </c>
      <c r="AK116" s="89">
        <v>54.938043999999998</v>
      </c>
      <c r="AL116" s="89">
        <v>24.305</v>
      </c>
      <c r="AM116" s="89">
        <v>51.996099999999998</v>
      </c>
      <c r="AN116" s="89">
        <v>95.95</v>
      </c>
      <c r="AO116" s="89">
        <v>47.866999999999997</v>
      </c>
      <c r="AP116" s="89">
        <v>50.941499999999998</v>
      </c>
      <c r="AQ116" s="89">
        <v>92.906369999999995</v>
      </c>
      <c r="AR116" s="89">
        <v>183.84</v>
      </c>
      <c r="AS116" s="89">
        <v>180.94788</v>
      </c>
      <c r="AT116" s="89">
        <v>91.224000000000004</v>
      </c>
      <c r="AU116" s="89">
        <v>58.933194999999998</v>
      </c>
      <c r="AV116" s="89">
        <v>26.981539999999999</v>
      </c>
      <c r="AW116" s="89">
        <v>121.76</v>
      </c>
      <c r="AX116" s="89">
        <v>207.2</v>
      </c>
      <c r="AY116" s="89">
        <v>118.71</v>
      </c>
      <c r="BB116" s="89"/>
    </row>
    <row r="117" spans="1:54" ht="28.5" x14ac:dyDescent="0.45">
      <c r="A117" s="265" t="s">
        <v>241</v>
      </c>
      <c r="B117" s="269">
        <f>100*((((B116)/(AA116))/(((B116)/(AA116))+((C116)/(AB116))+((D116)/(AC116))+((E116)/(AD116))+((F116)/(AE116))+((G116)/(AF116))+((H116)/(AG116))+((I116)/(AH116))+((J116)/(AI116))+((K116)/(AJ116))+((L116)/(AK116))+((M116)/(AL116))+((N116)/(AM116))+((O116)/(AN116))+((P116)/(AO116))+((Q116)/(AP116))+((R116)/(AQ116))+((S116)/(AR116))+((T116)/(AS116))+((U116)/(AT116))+((V116)/(AU116))+((W116)/(AV116))+((X116)/(AW116))+((Y116)/(AX116))+((Z116)/(AY116)))))</f>
        <v>94.850318316533816</v>
      </c>
      <c r="C117" s="269">
        <f>100*((((C116)/(AB116))/(((B116)/(AA116))+((C116)/(AB116))+((D116)/(AC116))+((E116)/(AD116))+((F116)/(AE116))+((G116)/(AF116))+((H116)/(AG116))+((I116)/(AH116))+((J116)/(AI116))+((K116)/(AJ116))+((L116)/(AK116))+((M116)/(AL116))+((N116)/(AM116))+((O116)/(AN116))+((P116)/(AO116))+((Q116)/(AP116))+((R116)/(AQ116))+((S116)/(AR116))+((T116)/(AS116))+((U116)/(AT116))+((V116)/(AU116))+((W116)/(AV116))+((X116)/(AW116))+((Y116)/(AX116))+((Z116)/(AY116)))))</f>
        <v>0.98189515679236972</v>
      </c>
      <c r="D117" s="269">
        <f>100*((((D116)/(AC116))/(((B116)/(AA116))+((C116)/(AB116))+((D116)/(AC116))+((E116)/(AD116))+((F116)/(AE116))+((G116)/(AF116))+((H116)/(AG116))+((I116)/(AH116))+((J116)/(AI116))+((K116)/(AJ116))+((L116)/(AK116))+((M116)/(AL116))+((N116)/(AM116))+((O116)/(AN116))+((P116)/(AO116))+((Q116)/(AP116))+((R116)/(AQ116))+((S116)/(AR116))+((T116)/(AS116))+((U116)/(AT116))+((V116)/(AU116))+((W116)/(AV116))+((X116)/(AW116))+((Y116)/(AX116))+((Z116)/(AY116)))))</f>
        <v>2.1143190532055471</v>
      </c>
      <c r="E117" s="269">
        <f>100*((((E116)/(AD116))/(((B116)/(AA116))+((C116)/(AB116))+((D116)/(AC116))+((E116)/(AD116))+((F116)/(AE116))+((G116)/(AF116))+((H116)/(AG116))+((I116)/(AH116))+((J116)/(AI116))+((K116)/(AJ116))+((L116)/(AK116))+((M116)/(AL116))+((N116)/(AM116))+((O116)/(AN116))+((P116)/(AO116))+((Q116)/(AP116))+((R116)/(AQ116))+((S116)/(AR116))+((T116)/(AS116))+((U116)/(AT116))+((V116)/(AU116))+((W116)/(AV116))+((X116)/(AW116))+((Y116)/(AX116))+((Z116)/(AY116)))))</f>
        <v>0</v>
      </c>
      <c r="F117" s="269">
        <f>100*((((F116)/(AE116))/(((B116)/(AA116))+((C116)/(AB116))+((D116)/(AC116))+((E116)/(AD116))+((F116)/(AE116))+((G116)/(AF116))+((H116)/(AG116))+((I116)/(AH116))+((J116)/(AI116))+((K116)/(AJ116))+((L116)/(AK116))+((M116)/(AL116))+((N116)/(AM116))+((O116)/(AN116))+((P116)/(AO116))+((Q116)/(AP116))+((R116)/(AQ116))+((S116)/(AR116))+((T116)/(AS116))+((U116)/(AT116))+((V116)/(AU116))+((W116)/(AV116))+((X116)/(AW116))+((Y116)/(AX116))+((Z116)/(AY116)))))</f>
        <v>0</v>
      </c>
      <c r="G117" s="269">
        <f>100*((((G116)/(AF116))/(((B116)/(AA116))+((C116)/(AB116))+((D116)/(AC116))+((E116)/(AD116))+((F116)/(AE116))+((G116)/(AF116))+((H116)/(AG116))+((I116)/(AH116))+((J116)/(AI116))+((K116)/(AJ116))+((L116)/(AK116))+((M116)/(AL116))+((N116)/(AM116))+((O116)/(AN116))+((P116)/(AO116))+((Q116)/(AP116))+((R116)/(AQ116))+((S116)/(AR116))+((T116)/(AS116))+((U116)/(AT116))+((V116)/(AU116))+((W116)/(AV116))+((X116)/(AW116))+((Y116)/(AX116))+((Z116)/(AY116)))))</f>
        <v>1.1595664692070367</v>
      </c>
      <c r="H117" s="269">
        <f>100*((((H116)/(AG116))/(((B116)/(AA116))+((C116)/(AB116))+((D116)/(AC116))+((E116)/(AD116))+((F116)/(AE116))+((G116)/(AF116))+((H116)/(AG116))+((I116)/(AH116))+((J116)/(AI116))+((K116)/(AJ116))+((L116)/(AK116))+((M116)/(AL116))+((N116)/(AM116))+((O116)/(AN116))+((P116)/(AO116))+((Q116)/(AP116))+((R116)/(AQ116))+((S116)/(AR116))+((T116)/(AS116))+((U116)/(AT116))+((V116)/(AU116))+((W116)/(AV116))+((X116)/(AW116))+((Y116)/(AX116))+((Z116)/(AY116)))))</f>
        <v>2.6710042286202204E-2</v>
      </c>
      <c r="I117" s="269">
        <f>100*((((I116)/(AH116))/(((B116)/(AA116))+((C116)/(AB116))+((D116)/(AC116))+((E116)/(AD116))+((F116)/(AE116))+((G116)/(AF116))+((H116)/(AG116))+((I116)/(AH116))+((J116)/(AI116))+((K116)/(AJ116))+((L116)/(AK116))+((M116)/(AL116))+((N116)/(AM116))+((O116)/(AN116))+((P116)/(AO116))+((Q116)/(AP116))+((R116)/(AQ116))+((S116)/(AR116))+((T116)/(AS116))+((U116)/(AT116))+((V116)/(AU116))+((W116)/(AV116))+((X116)/(AW116))+((Y116)/(AX116))+((Z116)/(AY116)))))</f>
        <v>1.7200696351842883E-3</v>
      </c>
      <c r="J117" s="269">
        <f>100*((((J116)/(AI116))/(((B116)/(AA116))+((C116)/(AB116))+((D116)/(AC116))+((E116)/(AD116))+((F116)/(AE116))+((G116)/(AF116))+((H116)/(AG116))+((I116)/(AH116))+((J116)/(AI116))+((K116)/(AJ116))+((L116)/(AK116))+((M116)/(AL116))+((N116)/(AM116))+((O116)/(AN116))+((P116)/(AO116))+((Q116)/(AP116))+((R116)/(AQ116))+((S116)/(AR116))+((T116)/(AS116))+((U116)/(AT116))+((V116)/(AU116))+((W116)/(AV116))+((X116)/(AW116))+((Y116)/(AX116))+((Z116)/(AY116)))))</f>
        <v>0</v>
      </c>
      <c r="K117" s="269">
        <f>100*((((K116)/(AJ116))/(((B116)/(AA116))+((C116)/(AB116))+((D116)/(AC116))+((E116)/(AD116))+((F116)/(AE116))+((G116)/(AF116))+((H116)/(AG116))+((I116)/(AH116))+((J116)/(AI116))+((K116)/(AJ116))+((L116)/(AK116))+((M116)/(AL116))+((N116)/(AM116))+((O116)/(AN116))+((P116)/(AO116))+((Q116)/(AP116))+((R116)/(AQ116))+((S116)/(AR116))+((T116)/(AS116))+((U116)/(AT116))+((V116)/(AU116))+((W116)/(AV116))+((X116)/(AW116))+((Y116)/(AX116))+((Z116)/(AY116)))))</f>
        <v>7.6531960479441531E-3</v>
      </c>
      <c r="L117" s="269">
        <f>100*((((L116)/(AK116))/(((B116)/(AA116))+((C116)/(AB116))+((D116)/(AC116))+((E116)/(AD116))+((F116)/(AE116))+((G116)/(AF116))+((H116)/(AG116))+((I116)/(AH116))+((J116)/(AI116))+((K116)/(AJ116))+((L116)/(AK116))+((M116)/(AL116))+((N116)/(AM116))+((O116)/(AN116))+((P116)/(AO116))+((Q116)/(AP116))+((R116)/(AQ116))+((S116)/(AR116))+((T116)/(AS116))+((U116)/(AT116))+((V116)/(AU116))+((W116)/(AV116))+((X116)/(AW116))+((Y116)/(AX116))+((Z116)/(AY116)))))</f>
        <v>0.50196574938292482</v>
      </c>
      <c r="M117" s="269">
        <f>100*((((M116)/(AL116))/(((B116)/(AA116))+((C116)/(AB116))+((D116)/(AC116))+((E116)/(AD116))+((F116)/(AE116))+((G116)/(AF116))+((H116)/(AG116))+((I116)/(AH116))+((J116)/(AI116))+((K116)/(AJ116))+((L116)/(AK116))+((M116)/(AL116))+((N116)/(AM116))+((O116)/(AN116))+((P116)/(AO116))+((Q116)/(AP116))+((R116)/(AQ116))+((S116)/(AR116))+((T116)/(AS116))+((U116)/(AT116))+((V116)/(AU116))+((W116)/(AV116))+((X116)/(AW116))+((Y116)/(AX116))+((Z116)/(AY116)))))</f>
        <v>0</v>
      </c>
      <c r="N117" s="269">
        <f>100*((((N116)/(AM116))/(((B116)/(AA116))+((C116)/(AB116))+((D116)/(AC116))+((E116)/(AD116))+((F116)/(AE116))+((G116)/(AF116))+((H116)/(AG116))+((I116)/(AH116))+((J116)/(AI116))+((K116)/(AJ116))+((L116)/(AK116))+((M116)/(AL116))+((N116)/(AM116))+((O116)/(AN116))+((P116)/(AO116))+((Q116)/(AP116))+((R116)/(AQ116))+((S116)/(AR116))+((T116)/(AS116))+((U116)/(AT116))+((V116)/(AU116))+((W116)/(AV116))+((X116)/(AW116))+((Y116)/(AX116))+((Z116)/(AY116)))))</f>
        <v>0.21214680659581855</v>
      </c>
      <c r="O117" s="269">
        <f>100*((((O116)/(AN116))/(((B116)/(AA116))+((C116)/(AB116))+((D116)/(AC116))+((E116)/(AD116))+((F116)/(AE116))+((G116)/(AF116))+((H116)/(AG116))+((I116)/(AH116))+((J116)/(AI116))+((K116)/(AJ116))+((L116)/(AK116))+((M116)/(AL116))+((N116)/(AM116))+((O116)/(AN116))+((P116)/(AO116))+((Q116)/(AP116))+((R116)/(AQ116))+((S116)/(AR116))+((T116)/(AS116))+((U116)/(AT116))+((V116)/(AU116))+((W116)/(AV116))+((X116)/(AW116))+((Y116)/(AX116))+((Z116)/(AY116)))))</f>
        <v>0.1437051403131428</v>
      </c>
      <c r="P117" s="269">
        <f>100*((((P116)/(AO116))/(((B116)/(AA116))+((C116)/(AB116))+((D116)/(AC116))+((E116)/(AD116))+((F116)/(AE116))+((G116)/(AF116))+((H116)/(AG116))+((I116)/(AH116))+((J116)/(AI116))+((K116)/(AJ116))+((L116)/(AK116))+((M116)/(AL116))+((N116)/(AM116))+((O116)/(AN116))+((P116)/(AO116))+((Q116)/(AP116))+((R116)/(AQ116))+((S116)/(AR116))+((T116)/(AS116))+((U116)/(AT116))+((V116)/(AU116))+((W116)/(AV116))+((X116)/(AW116))+((Y116)/(AX116))+((Z116)/(AY116)))))</f>
        <v>0</v>
      </c>
      <c r="Q117" s="139">
        <f>100*((((Q116)/(AP116))/(((B116)/(AA116))+((C116)/(AB116))+((D116)/(AC116))+((E116)/(AD116))+((F116)/(AE116))+((G116)/(AF116))+((H116)/(AG116))+((I116)/(AH116))+((J116)/(AI116))+((K116)/(AJ116))+((L116)/(AK116))+((M116)/(AL116))+((N116)/(AM116))+((O116)/(AN116))+((P116)/(AO116))+((Q116)/(AP116))+((R116)/(AQ116))+((S116)/(AR116))+((T116)/(AS116))+((U116)/(AT116))+((V116)/(AU116))+((W116)/(AV116))+((X116)/(AW116))+((Y116)/(AX116))+((Z116)/(AY116)))))</f>
        <v>0</v>
      </c>
      <c r="R117" s="139">
        <f>100*((((R116)/(AQ116))/(((B116)/(AA116))+((C116)/(AB116))+((D116)/(AC116))+((E116)/(AD116))+((F116)/(AE116))+((G116)/(AF116))+((H116)/(AG116))+((I116)/(AH116))+((J116)/(AI116))+((K116)/(AJ116))+((L116)/(AK116))+((M116)/(AL116))+((N116)/(AM116))+((O116)/(AN116))+((P116)/(AO116))+((Q116)/(AP116))+((R116)/(AQ116))+((S116)/(AR116))+((T116)/(AS116))+((U116)/(AT116))+((V116)/(AU116))+((W116)/(AV116))+((X116)/(AW116))+((Y116)/(AX116))+((Z116)/(AY116)))))</f>
        <v>0</v>
      </c>
      <c r="S117" s="139">
        <f>100*((((S116)/(AR116))/(((B116)/(AA116))+((C116)/(AB116))+((D116)/(AC116))+((E116)/(AD116))+((F116)/(AE116))+((G116)/(AF116))+((H116)/(AG116))+((I116)/(AH116))+((J116)/(AI116))+((K116)/(AJ116))+((L116)/(AK116))+((M116)/(AL116))+((N116)/(AM116))+((O116)/(AN116))+((P116)/(AO116))+((Q116)/(AP116))+((R116)/(AQ116))+((S116)/(AR116))+((T116)/(AS116))+((U116)/(AT116))+((V116)/(AU116))+((W116)/(AV116))+((X116)/(AW116))+((Y116)/(AX116))+((Z116)/(AY116)))))</f>
        <v>0</v>
      </c>
      <c r="T117" s="139">
        <f>100*((((T116)/(AS116))/(((B116)/(AA116))+((C116)/(AB116))+((D116)/(AC116))+((E116)/(AD116))+((F116)/(AE116))+((G116)/(AF116))+((H116)/(AG116))+((I116)/(AH116))+((J116)/(AI116))+((K116)/(AJ116))+((L116)/(AK116))+((M116)/(AL116))+((N116)/(AM116))+((O116)/(AN116))+((P116)/(AO116))+((Q116)/(AP116))+((R116)/(AQ116))+((S116)/(AR116))+((T116)/(AS116))+((U116)/(AT116))+((V116)/(AU116))+((W116)/(AV116))+((X116)/(AW116))+((Y116)/(AX116))+((Z116)/(AY116)))))</f>
        <v>0</v>
      </c>
      <c r="U117" s="139">
        <f>100*((((U116)/(AT116))/(((B116)/(AA116))+((C116)/(AB116))+((D116)/(AC116))+((E116)/(AD116))+((F116)/(AE116))+((G116)/(AF116))+((H116)/(AG116))+((I116)/(AH116))+((J116)/(AI116))+((K116)/(AJ116))+((L116)/(AK116))+((M116)/(AL116))+((N116)/(AM116))+((O116)/(AN116))+((P116)/(AO116))+((Q116)/(AP116))+((R116)/(AQ116))+((S116)/(AR116))+((T116)/(AS116))+((U116)/(AT116))+((V116)/(AU116))+((W116)/(AV116))+((X116)/(AW116))+((Y116)/(AX116))+((Z116)/(AY116)))))</f>
        <v>0</v>
      </c>
      <c r="V117" s="139">
        <f>100*((((V116)/(AU116))/(((B116)/(AA116))+((C116)/(AB116))+((D116)/(AC116))+((E116)/(AD116))+((F116)/(AE116))+((G116)/(AF116))+((H116)/(AG116))+((I116)/(AH116))+((J116)/(AI116))+((K116)/(AJ116))+((L116)/(AK116))+((M116)/(AL116))+((N116)/(AM116))+((O116)/(AN116))+((P116)/(AO116))+((Q116)/(AP116))+((R116)/(AQ116))+((S116)/(AR116))+((T116)/(AS116))+((U116)/(AT116))+((V116)/(AU116))+((W116)/(AV116))+((X116)/(AW116))+((Y116)/(AX116))+((Z116)/(AY116)))))</f>
        <v>0</v>
      </c>
      <c r="W117" s="139">
        <f>100*((((W116)/(AV116))/(((B116)/(AA116))+((C116)/(AB116))+((D116)/(AC116))+((E116)/(AD116))+((F116)/(AE116))+((G116)/(AF116))+((H116)/(AG116))+((I116)/(AH116))+((J116)/(AI116))+((K116)/(AJ116))+((L116)/(AK116))+((M116)/(AL116))+((N116)/(AM116))+((O116)/(AN116))+((P116)/(AO116))+((Q116)/(AP116))+((R116)/(AQ116))+((S116)/(AR116))+((T116)/(AS116))+((U116)/(AT116))+((V116)/(AU116))+((W116)/(AV116))+((X116)/(AW116))+((Y116)/(AX116))+((Z116)/(AY116)))))</f>
        <v>0</v>
      </c>
      <c r="X117" s="89">
        <f>100*((((X116)/(AW116))/(((B116)/(AA116))+((C116)/(AB116))+((D116)/(AC116))+((E116)/(AD116))+((F116)/(AE116))+((G116)/(AF116))+((H116)/(AG116))+((I116)/(AH116))+((J116)/(AI116))+((K116)/(AJ116))+((L116)/(AK116))+((M116)/(AL116))+((N116)/(AM116))+((O116)/(AN116))+((P116)/(AO116))+((Q116)/(AP116))+((R116)/(AQ116))+((S116)/(AR116))+((T116)/(AS116))+((U116)/(AT116))+((V116)/(AU116))+((W116)/(AV116))+((X116)/(AW116))+((Y116)/(AX116))+((Z116)/(AY116)))))</f>
        <v>0</v>
      </c>
      <c r="Y117" s="89">
        <f>100*((((Y116)/(AX116))/(((B116)/(AA116))+((C116)/(AB116))+((D116)/(AC116))+((E116)/(AD116))+((F116)/(AE116))+((G116)/(AF116))+((H116)/(AG116))+((I116)/(AH116))+((J116)/(AI116))+((K116)/(AJ116))+((L116)/(AK116))+((M116)/(AL116))+((N116)/(AM116))+((O116)/(AN116))+((P116)/(AO116))+((Q116)/(AP116))+((R116)/(AQ116))+((S116)/(AR116))+((T116)/(AS116))+((U116)/(AT116))+((V116)/(AU116))+((W116)/(AV116))+((X116)/(AW116))+((Y116)/(AX116))+((Z116)/(AY116)))))</f>
        <v>0</v>
      </c>
      <c r="Z117" s="89">
        <f>100*((((Z116)/(AY116))/(((B116)/(AA116))+((C116)/(AB116))+((D116)/(AC116))+((E116)/(AD116))+((F116)/(AE116))+((G116)/(AF116))+((H116)/(AG116))+((I116)/(AH116))+((J116)/(AI116))+((K116)/(AJ116))+((L116)/(AK116))+((M116)/(AL116))+((N116)/(AM116))+((O116)/(AN116))+((P116)/(AO116))+((Q116)/(AP116))+((R116)/(AQ116))+((S116)/(AR116))+((T116)/(AS116))+((U116)/(AT116))+((V116)/(AU116))+((W116)/(AV116))+((X116)/(AW116))+((Y116)/(AX116))+((Z116)/(AY116)))))</f>
        <v>0</v>
      </c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89"/>
      <c r="AQ117" s="89"/>
      <c r="AR117" s="89"/>
      <c r="AS117" s="89"/>
      <c r="AT117" s="89"/>
      <c r="AU117" s="89"/>
      <c r="AV117" s="89"/>
      <c r="AW117" s="89"/>
      <c r="AX117" s="89"/>
      <c r="AY117" s="89"/>
      <c r="BB117" s="89"/>
    </row>
    <row r="118" spans="1:54" ht="28.5" x14ac:dyDescent="0.45">
      <c r="A118" s="265">
        <f>599-B118</f>
        <v>30.84659328396242</v>
      </c>
      <c r="B118" s="265">
        <f>599*B117/100</f>
        <v>568.15340671603758</v>
      </c>
      <c r="C118" s="265">
        <f>599*C117/100</f>
        <v>5.8815519891862946</v>
      </c>
      <c r="D118" s="265">
        <f t="shared" ref="D118:Z118" si="32">599*D117/100</f>
        <v>12.664771128701227</v>
      </c>
      <c r="E118" s="265">
        <f t="shared" si="32"/>
        <v>0</v>
      </c>
      <c r="F118" s="265">
        <f t="shared" si="32"/>
        <v>0</v>
      </c>
      <c r="G118" s="265">
        <f t="shared" si="32"/>
        <v>6.945803150550149</v>
      </c>
      <c r="H118" s="265">
        <f t="shared" si="32"/>
        <v>0.15999315329435121</v>
      </c>
      <c r="I118" s="265">
        <f t="shared" si="32"/>
        <v>1.0303217114753887E-2</v>
      </c>
      <c r="J118" s="265">
        <f t="shared" si="32"/>
        <v>0</v>
      </c>
      <c r="K118" s="265">
        <f t="shared" si="32"/>
        <v>4.5842644327185475E-2</v>
      </c>
      <c r="L118" s="265">
        <f t="shared" si="32"/>
        <v>3.0067748388037199</v>
      </c>
      <c r="M118" s="265">
        <f t="shared" si="32"/>
        <v>0</v>
      </c>
      <c r="N118" s="265">
        <f t="shared" si="32"/>
        <v>1.2707593715089531</v>
      </c>
      <c r="O118" s="265">
        <f t="shared" si="32"/>
        <v>0.86079379047572535</v>
      </c>
      <c r="P118" s="265">
        <f t="shared" si="32"/>
        <v>0</v>
      </c>
      <c r="Q118" s="89">
        <f t="shared" si="32"/>
        <v>0</v>
      </c>
      <c r="R118" s="89">
        <f t="shared" si="32"/>
        <v>0</v>
      </c>
      <c r="S118" s="89">
        <f t="shared" si="32"/>
        <v>0</v>
      </c>
      <c r="T118" s="89">
        <f t="shared" si="32"/>
        <v>0</v>
      </c>
      <c r="U118" s="89">
        <f t="shared" si="32"/>
        <v>0</v>
      </c>
      <c r="V118" s="89">
        <f t="shared" si="32"/>
        <v>0</v>
      </c>
      <c r="W118" s="89">
        <f t="shared" si="32"/>
        <v>0</v>
      </c>
      <c r="X118" s="89">
        <f t="shared" si="32"/>
        <v>0</v>
      </c>
      <c r="Y118" s="89">
        <f t="shared" si="32"/>
        <v>0</v>
      </c>
      <c r="Z118" s="89">
        <f t="shared" si="32"/>
        <v>0</v>
      </c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89"/>
      <c r="AQ118" s="89"/>
      <c r="AR118" s="89"/>
      <c r="AS118" s="89"/>
      <c r="AT118" s="89"/>
      <c r="AU118" s="89"/>
      <c r="AV118" s="89"/>
      <c r="AW118" s="89"/>
      <c r="AX118" s="89"/>
      <c r="AY118" s="89"/>
      <c r="BB118" s="89"/>
    </row>
    <row r="119" spans="1:54" ht="28.5" x14ac:dyDescent="0.45">
      <c r="A119" s="265"/>
      <c r="B119" s="265"/>
      <c r="C119" s="265"/>
      <c r="D119" s="265"/>
      <c r="E119" s="265"/>
      <c r="F119" s="265"/>
      <c r="G119" s="265"/>
      <c r="H119" s="265"/>
      <c r="I119" s="265"/>
      <c r="J119" s="265"/>
      <c r="K119" s="265"/>
      <c r="L119" s="265">
        <v>4</v>
      </c>
      <c r="M119" s="265"/>
      <c r="N119" s="265"/>
      <c r="O119" s="265"/>
      <c r="P119" s="265"/>
      <c r="R119" s="4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89"/>
      <c r="AP119" s="89"/>
      <c r="AQ119" s="89"/>
      <c r="AR119" s="89"/>
      <c r="AS119" s="89"/>
      <c r="AT119" s="89"/>
      <c r="AU119" s="89"/>
      <c r="AV119" s="89"/>
      <c r="AW119" s="89"/>
      <c r="AX119" s="89"/>
      <c r="AY119" s="89"/>
      <c r="BB119" s="89"/>
    </row>
    <row r="120" spans="1:54" ht="28.5" x14ac:dyDescent="0.45">
      <c r="A120" s="265">
        <f>B120+C120+D120+E120+F120+G120+H120+I120+J120+K120+L120+M120+N120+O120+P120+Q120+R120+S120+T120+U120+V120+W120+X120+Y120+Z120</f>
        <v>225</v>
      </c>
      <c r="B120" s="265"/>
      <c r="C120" s="265">
        <v>5</v>
      </c>
      <c r="D120" s="265"/>
      <c r="E120" s="265"/>
      <c r="F120" s="265"/>
      <c r="G120" s="265">
        <v>72</v>
      </c>
      <c r="H120" s="265"/>
      <c r="I120" s="265"/>
      <c r="J120" s="265"/>
      <c r="K120" s="265"/>
      <c r="L120" s="265">
        <v>4</v>
      </c>
      <c r="M120" s="265"/>
      <c r="N120" s="265">
        <v>144</v>
      </c>
      <c r="O120" s="265"/>
      <c r="P120" s="265"/>
      <c r="R120" s="4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89"/>
      <c r="AQ120" s="89"/>
      <c r="AR120" s="89"/>
      <c r="AS120" s="89"/>
      <c r="AT120" s="89"/>
      <c r="AU120" s="89"/>
      <c r="AV120" s="89"/>
      <c r="AW120" s="89"/>
      <c r="AX120" s="89"/>
      <c r="AY120" s="89"/>
      <c r="BB120" s="89"/>
    </row>
    <row r="121" spans="1:54" ht="28.5" x14ac:dyDescent="0.45">
      <c r="A121" s="265" t="s">
        <v>218</v>
      </c>
      <c r="B121" s="265">
        <f>K118+O118+U118+Q118+L118+M118+P118+N118</f>
        <v>5.184170645115584</v>
      </c>
      <c r="C121" s="265"/>
      <c r="D121" s="265"/>
      <c r="E121" s="265"/>
      <c r="F121" s="265"/>
      <c r="G121" s="265"/>
      <c r="H121" s="265"/>
      <c r="I121" s="265"/>
      <c r="J121" s="265"/>
      <c r="K121" s="265"/>
      <c r="L121" s="265"/>
      <c r="M121" s="265"/>
      <c r="N121" s="265"/>
      <c r="O121" s="265"/>
      <c r="P121" s="265"/>
      <c r="R121" s="4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89"/>
      <c r="AQ121" s="89"/>
      <c r="AR121" s="89"/>
      <c r="AS121" s="89"/>
      <c r="AT121" s="89"/>
      <c r="AU121" s="89"/>
      <c r="AV121" s="89"/>
      <c r="AW121" s="89"/>
      <c r="AX121" s="89"/>
      <c r="AY121" s="89"/>
      <c r="BB121" s="89"/>
    </row>
    <row r="122" spans="1:54" ht="28.5" x14ac:dyDescent="0.45">
      <c r="A122" s="265" t="s">
        <v>237</v>
      </c>
      <c r="B122" s="265">
        <f>C118+D118+G118+H118+I118+J118+E118+F118</f>
        <v>25.662422638846774</v>
      </c>
      <c r="C122" s="265"/>
      <c r="D122" s="265"/>
      <c r="E122" s="265"/>
      <c r="F122" s="265"/>
      <c r="G122" s="265"/>
      <c r="H122" s="265"/>
      <c r="I122" s="265"/>
      <c r="J122" s="265"/>
      <c r="K122" s="265">
        <f>3-O120-U120</f>
        <v>3</v>
      </c>
      <c r="L122" s="265"/>
      <c r="M122" s="265"/>
      <c r="N122" s="265"/>
      <c r="O122" s="265"/>
      <c r="P122" s="265"/>
      <c r="R122" s="4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89"/>
      <c r="AQ122" s="89"/>
      <c r="AR122" s="89"/>
      <c r="AS122" s="89"/>
      <c r="AT122" s="89"/>
      <c r="AU122" s="89"/>
      <c r="AV122" s="89"/>
      <c r="AW122" s="89"/>
      <c r="AX122" s="89"/>
      <c r="AY122" s="89"/>
      <c r="BB122" s="89"/>
    </row>
    <row r="123" spans="1:54" ht="28.5" x14ac:dyDescent="0.45">
      <c r="A123" s="265"/>
      <c r="B123" s="268">
        <f>B121+B122</f>
        <v>30.846593283962356</v>
      </c>
      <c r="C123" s="265"/>
      <c r="D123" s="265"/>
      <c r="E123" s="265"/>
      <c r="F123" s="265"/>
      <c r="G123" s="265"/>
      <c r="H123" s="265"/>
      <c r="I123" s="265"/>
      <c r="J123" s="265"/>
      <c r="K123" s="265"/>
      <c r="L123" s="265"/>
      <c r="M123" s="265"/>
      <c r="N123" s="265"/>
      <c r="O123" s="265"/>
      <c r="P123" s="265"/>
      <c r="R123" s="4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89"/>
      <c r="AN123" s="89"/>
      <c r="AO123" s="89"/>
      <c r="AP123" s="89"/>
      <c r="AQ123" s="89"/>
      <c r="AR123" s="89"/>
      <c r="AS123" s="89"/>
      <c r="AT123" s="89"/>
      <c r="AU123" s="89"/>
      <c r="AV123" s="89"/>
      <c r="AW123" s="89"/>
      <c r="AX123" s="89"/>
      <c r="AY123" s="89"/>
      <c r="BB123" s="89"/>
    </row>
    <row r="124" spans="1:54" ht="21" x14ac:dyDescent="0.35">
      <c r="BB124" s="89"/>
    </row>
    <row r="125" spans="1:54" ht="28.5" x14ac:dyDescent="0.45">
      <c r="A125" s="271" t="s">
        <v>264</v>
      </c>
      <c r="B125" s="266" t="s">
        <v>14</v>
      </c>
      <c r="C125" s="266" t="s">
        <v>15</v>
      </c>
      <c r="D125" s="266" t="s">
        <v>8</v>
      </c>
      <c r="E125" s="266" t="s">
        <v>9</v>
      </c>
      <c r="F125" s="266" t="s">
        <v>234</v>
      </c>
      <c r="G125" s="266" t="s">
        <v>56</v>
      </c>
      <c r="H125" s="266" t="s">
        <v>57</v>
      </c>
      <c r="I125" s="266" t="s">
        <v>58</v>
      </c>
      <c r="J125" s="266" t="s">
        <v>77</v>
      </c>
      <c r="K125" s="267" t="s">
        <v>204</v>
      </c>
      <c r="L125" s="266" t="s">
        <v>16</v>
      </c>
      <c r="M125" s="266" t="s">
        <v>13</v>
      </c>
      <c r="N125" s="266" t="s">
        <v>44</v>
      </c>
      <c r="O125" s="266" t="s">
        <v>55</v>
      </c>
      <c r="P125" s="266" t="s">
        <v>17</v>
      </c>
      <c r="Q125" s="266" t="s">
        <v>80</v>
      </c>
      <c r="R125" s="266" t="s">
        <v>81</v>
      </c>
      <c r="S125" s="266" t="s">
        <v>82</v>
      </c>
      <c r="T125" s="266" t="s">
        <v>83</v>
      </c>
      <c r="U125" s="266" t="s">
        <v>45</v>
      </c>
      <c r="V125" s="266" t="s">
        <v>43</v>
      </c>
      <c r="W125" s="266" t="s">
        <v>12</v>
      </c>
      <c r="X125" s="266" t="s">
        <v>0</v>
      </c>
      <c r="Y125" s="266" t="s">
        <v>11</v>
      </c>
      <c r="Z125" s="266" t="s">
        <v>10</v>
      </c>
      <c r="AA125" s="266" t="s">
        <v>14</v>
      </c>
      <c r="AB125" s="266" t="s">
        <v>15</v>
      </c>
      <c r="AC125" s="266" t="s">
        <v>8</v>
      </c>
      <c r="AD125" s="266" t="s">
        <v>9</v>
      </c>
      <c r="AE125" s="266" t="s">
        <v>234</v>
      </c>
      <c r="AF125" s="266" t="s">
        <v>56</v>
      </c>
      <c r="AG125" s="266" t="s">
        <v>57</v>
      </c>
      <c r="AH125" s="266" t="s">
        <v>58</v>
      </c>
      <c r="AI125" s="266" t="s">
        <v>77</v>
      </c>
      <c r="AJ125" s="267" t="s">
        <v>204</v>
      </c>
      <c r="AK125" s="266" t="s">
        <v>16</v>
      </c>
      <c r="AL125" s="266" t="s">
        <v>13</v>
      </c>
      <c r="AM125" s="266" t="s">
        <v>44</v>
      </c>
      <c r="AN125" s="266" t="s">
        <v>55</v>
      </c>
      <c r="AO125" s="266" t="s">
        <v>17</v>
      </c>
      <c r="AP125" s="266" t="s">
        <v>80</v>
      </c>
      <c r="AQ125" s="266" t="s">
        <v>81</v>
      </c>
      <c r="AR125" s="266" t="s">
        <v>82</v>
      </c>
      <c r="AS125" s="266" t="s">
        <v>83</v>
      </c>
      <c r="AT125" s="266" t="s">
        <v>45</v>
      </c>
      <c r="AU125" s="266" t="s">
        <v>43</v>
      </c>
      <c r="AV125" s="266" t="s">
        <v>12</v>
      </c>
      <c r="AW125" s="266" t="s">
        <v>0</v>
      </c>
      <c r="AX125" s="266" t="s">
        <v>11</v>
      </c>
      <c r="AY125" s="266" t="s">
        <v>10</v>
      </c>
      <c r="BB125" s="89"/>
    </row>
    <row r="126" spans="1:54" ht="21" x14ac:dyDescent="0.35">
      <c r="A126" s="226" t="s">
        <v>274</v>
      </c>
      <c r="B126" s="139">
        <f>100-C126-D126-E126-F126-G126-H126-I126-J126-K126-L126-M126-N126-O126-P126-Q126-R126-S126-T126-U126-V126-W126-X126-Y126-Z126</f>
        <v>68.42</v>
      </c>
      <c r="C126" s="177">
        <v>0.75</v>
      </c>
      <c r="D126" s="177"/>
      <c r="E126" s="177"/>
      <c r="F126" s="177"/>
      <c r="G126" s="177">
        <v>3</v>
      </c>
      <c r="H126" s="177">
        <v>0.05</v>
      </c>
      <c r="I126" s="177">
        <v>0.03</v>
      </c>
      <c r="J126" s="177"/>
      <c r="K126" s="177"/>
      <c r="L126" s="177">
        <v>0.5</v>
      </c>
      <c r="M126" s="177"/>
      <c r="N126" s="177">
        <v>26.5</v>
      </c>
      <c r="O126" s="177">
        <v>0.75</v>
      </c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  <c r="AA126" s="189">
        <v>55.84</v>
      </c>
      <c r="AB126" s="89">
        <v>28.0855</v>
      </c>
      <c r="AC126" s="89">
        <v>58.693399999999997</v>
      </c>
      <c r="AD126" s="89">
        <v>63.545999999999999</v>
      </c>
      <c r="AE126" s="89">
        <v>65.38</v>
      </c>
      <c r="AF126" s="89">
        <v>12.01</v>
      </c>
      <c r="AG126" s="89">
        <v>30.973762000000001</v>
      </c>
      <c r="AH126" s="89">
        <v>32.064999999999998</v>
      </c>
      <c r="AI126" s="89">
        <v>14.0067</v>
      </c>
      <c r="AJ126" s="89">
        <v>10.81</v>
      </c>
      <c r="AK126" s="89">
        <v>54.938043999999998</v>
      </c>
      <c r="AL126" s="89">
        <v>24.305</v>
      </c>
      <c r="AM126" s="89">
        <v>51.996099999999998</v>
      </c>
      <c r="AN126" s="89">
        <v>95.95</v>
      </c>
      <c r="AO126" s="89">
        <v>47.866999999999997</v>
      </c>
      <c r="AP126" s="89">
        <v>50.941499999999998</v>
      </c>
      <c r="AQ126" s="89">
        <v>92.906369999999995</v>
      </c>
      <c r="AR126" s="89">
        <v>183.84</v>
      </c>
      <c r="AS126" s="89">
        <v>180.94788</v>
      </c>
      <c r="AT126" s="89">
        <v>91.224000000000004</v>
      </c>
      <c r="AU126" s="89">
        <v>58.933194999999998</v>
      </c>
      <c r="AV126" s="89">
        <v>26.981539999999999</v>
      </c>
      <c r="AW126" s="89">
        <v>121.76</v>
      </c>
      <c r="AX126" s="89">
        <v>207.2</v>
      </c>
      <c r="AY126" s="89">
        <v>118.71</v>
      </c>
      <c r="BB126" s="89"/>
    </row>
    <row r="127" spans="1:54" ht="21" x14ac:dyDescent="0.35">
      <c r="A127" s="89" t="s">
        <v>241</v>
      </c>
      <c r="B127" s="139">
        <f>100*((((B126)/(AA126))/(((B126)/(AA126))+((C126)/(AB126))+((D126)/(AC126))+((E126)/(AD126))+((F126)/(AE126))+((G126)/(AF126))+((H126)/(AG126))+((I126)/(AH126))+((J126)/(AI126))+((K126)/(AJ126))+((L126)/(AK126))+((M126)/(AL126))+((N126)/(AM126))+((O126)/(AN126))+((P126)/(AO126))+((Q126)/(AP126))+((R126)/(AQ126))+((S126)/(AR126))+((T126)/(AS126))+((U126)/(AT126))+((V126)/(AU126))+((W126)/(AV126))+((X126)/(AW126))+((Y126)/(AX126))+((Z126)/(AY126)))))</f>
        <v>60.332082713356371</v>
      </c>
      <c r="C127" s="139">
        <f>100*((((C126)/(AB126))/(((B126)/(AA126))+((C126)/(AB126))+((D126)/(AC126))+((E126)/(AD126))+((F126)/(AE126))+((G126)/(AF126))+((H126)/(AG126))+((I126)/(AH126))+((J126)/(AI126))+((K126)/(AJ126))+((L126)/(AK126))+((M126)/(AL126))+((N126)/(AM126))+((O126)/(AN126))+((P126)/(AO126))+((Q126)/(AP126))+((R126)/(AQ126))+((S126)/(AR126))+((T126)/(AS126))+((U126)/(AT126))+((V126)/(AU126))+((W126)/(AV126))+((X126)/(AW126))+((Y126)/(AX126))+((Z126)/(AY126)))))</f>
        <v>1.3148910249090904</v>
      </c>
      <c r="D127" s="139">
        <f>100*((((D126)/(AC126))/(((B126)/(AA126))+((C126)/(AB126))+((D126)/(AC126))+((E126)/(AD126))+((F126)/(AE126))+((G126)/(AF126))+((H126)/(AG126))+((I126)/(AH126))+((J126)/(AI126))+((K126)/(AJ126))+((L126)/(AK126))+((M126)/(AL126))+((N126)/(AM126))+((O126)/(AN126))+((P126)/(AO126))+((Q126)/(AP126))+((R126)/(AQ126))+((S126)/(AR126))+((T126)/(AS126))+((U126)/(AT126))+((V126)/(AU126))+((W126)/(AV126))+((X126)/(AW126))+((Y126)/(AX126))+((Z126)/(AY126)))))</f>
        <v>0</v>
      </c>
      <c r="E127" s="139">
        <f>100*((((E126)/(AD126))/(((B126)/(AA126))+((C126)/(AB126))+((D126)/(AC126))+((E126)/(AD126))+((F126)/(AE126))+((G126)/(AF126))+((H126)/(AG126))+((I126)/(AH126))+((J126)/(AI126))+((K126)/(AJ126))+((L126)/(AK126))+((M126)/(AL126))+((N126)/(AM126))+((O126)/(AN126))+((P126)/(AO126))+((Q126)/(AP126))+((R126)/(AQ126))+((S126)/(AR126))+((T126)/(AS126))+((U126)/(AT126))+((V126)/(AU126))+((W126)/(AV126))+((X126)/(AW126))+((Y126)/(AX126))+((Z126)/(AY126)))))</f>
        <v>0</v>
      </c>
      <c r="F127" s="139">
        <f>100*((((F126)/(AE126))/(((B126)/(AA126))+((C126)/(AB126))+((D126)/(AC126))+((E126)/(AD126))+((F126)/(AE126))+((G126)/(AF126))+((H126)/(AG126))+((I126)/(AH126))+((J126)/(AI126))+((K126)/(AJ126))+((L126)/(AK126))+((M126)/(AL126))+((N126)/(AM126))+((O126)/(AN126))+((P126)/(AO126))+((Q126)/(AP126))+((R126)/(AQ126))+((S126)/(AR126))+((T126)/(AS126))+((U126)/(AT126))+((V126)/(AU126))+((W126)/(AV126))+((X126)/(AW126))+((Y126)/(AX126))+((Z126)/(AY126)))))</f>
        <v>0</v>
      </c>
      <c r="G127" s="139">
        <f>100*((((G126)/(AF126))/(((B126)/(AA126))+((C126)/(AB126))+((D126)/(AC126))+((E126)/(AD126))+((F126)/(AE126))+((G126)/(AF126))+((H126)/(AG126))+((I126)/(AH126))+((J126)/(AI126))+((K126)/(AJ126))+((L126)/(AK126))+((M126)/(AL126))+((N126)/(AM126))+((O126)/(AN126))+((P126)/(AO126))+((Q126)/(AP126))+((R126)/(AQ126))+((S126)/(AR126))+((T126)/(AS126))+((U126)/(AT126))+((V126)/(AU126))+((W126)/(AV126))+((X126)/(AW126))+((Y126)/(AX126))+((Z126)/(AY126)))))</f>
        <v>12.299541009187095</v>
      </c>
      <c r="H127" s="139">
        <f>100*((((H126)/(AG126))/(((B126)/(AA126))+((C126)/(AB126))+((D126)/(AC126))+((E126)/(AD126))+((F126)/(AE126))+((G126)/(AF126))+((H126)/(AG126))+((I126)/(AH126))+((J126)/(AI126))+((K126)/(AJ126))+((L126)/(AK126))+((M126)/(AL126))+((N126)/(AM126))+((O126)/(AN126))+((P126)/(AO126))+((Q126)/(AP126))+((R126)/(AQ126))+((S126)/(AR126))+((T126)/(AS126))+((U126)/(AT126))+((V126)/(AU126))+((W126)/(AV126))+((X126)/(AW126))+((Y126)/(AX126))+((Z126)/(AY126)))))</f>
        <v>7.9485279358024075E-2</v>
      </c>
      <c r="I127" s="139">
        <f>100*((((I126)/(AH126))/(((B126)/(AA126))+((C126)/(AB126))+((D126)/(AC126))+((E126)/(AD126))+((F126)/(AE126))+((G126)/(AF126))+((H126)/(AG126))+((I126)/(AH126))+((J126)/(AI126))+((K126)/(AJ126))+((L126)/(AK126))+((M126)/(AL126))+((N126)/(AM126))+((O126)/(AN126))+((P126)/(AO126))+((Q126)/(AP126))+((R126)/(AQ126))+((S126)/(AR126))+((T126)/(AS126))+((U126)/(AT126))+((V126)/(AU126))+((W126)/(AV126))+((X126)/(AW126))+((Y126)/(AX126))+((Z126)/(AY126)))))</f>
        <v>4.6068138942877604E-2</v>
      </c>
      <c r="J127" s="139">
        <f>100*((((J126)/(AI126))/(((B126)/(AA126))+((C126)/(AB126))+((D126)/(AC126))+((E126)/(AD126))+((F126)/(AE126))+((G126)/(AF126))+((H126)/(AG126))+((I126)/(AH126))+((J126)/(AI126))+((K126)/(AJ126))+((L126)/(AK126))+((M126)/(AL126))+((N126)/(AM126))+((O126)/(AN126))+((P126)/(AO126))+((Q126)/(AP126))+((R126)/(AQ126))+((S126)/(AR126))+((T126)/(AS126))+((U126)/(AT126))+((V126)/(AU126))+((W126)/(AV126))+((X126)/(AW126))+((Y126)/(AX126))+((Z126)/(AY126)))))</f>
        <v>0</v>
      </c>
      <c r="K127" s="139">
        <f>100*((((K126)/(AJ126))/(((B126)/(AA126))+((C126)/(AB126))+((D126)/(AC126))+((E126)/(AD126))+((F126)/(AE126))+((G126)/(AF126))+((H126)/(AG126))+((I126)/(AH126))+((J126)/(AI126))+((K126)/(AJ126))+((L126)/(AK126))+((M126)/(AL126))+((N126)/(AM126))+((O126)/(AN126))+((P126)/(AO126))+((Q126)/(AP126))+((R126)/(AQ126))+((S126)/(AR126))+((T126)/(AS126))+((U126)/(AT126))+((V126)/(AU126))+((W126)/(AV126))+((X126)/(AW126))+((Y126)/(AX126))+((Z126)/(AY126)))))</f>
        <v>0</v>
      </c>
      <c r="L127" s="139">
        <f>100*((((L126)/(AK126))/(((B126)/(AA126))+((C126)/(AB126))+((D126)/(AC126))+((E126)/(AD126))+((F126)/(AE126))+((G126)/(AF126))+((H126)/(AG126))+((I126)/(AH126))+((J126)/(AI126))+((K126)/(AJ126))+((L126)/(AK126))+((M126)/(AL126))+((N126)/(AM126))+((O126)/(AN126))+((P126)/(AO126))+((Q126)/(AP126))+((R126)/(AQ126))+((S126)/(AR126))+((T126)/(AS126))+((U126)/(AT126))+((V126)/(AU126))+((W126)/(AV126))+((X126)/(AW126))+((Y126)/(AX126))+((Z126)/(AY126)))))</f>
        <v>0.44813356029547585</v>
      </c>
      <c r="M127" s="139">
        <f>100*((((M126)/(AL126))/(((B126)/(AA126))+((C126)/(AB126))+((D126)/(AC126))+((E126)/(AD126))+((F126)/(AE126))+((G126)/(AF126))+((H126)/(AG126))+((I126)/(AH126))+((J126)/(AI126))+((K126)/(AJ126))+((L126)/(AK126))+((M126)/(AL126))+((N126)/(AM126))+((O126)/(AN126))+((P126)/(AO126))+((Q126)/(AP126))+((R126)/(AQ126))+((S126)/(AR126))+((T126)/(AS126))+((U126)/(AT126))+((V126)/(AU126))+((W126)/(AV126))+((X126)/(AW126))+((Y126)/(AX126))+((Z126)/(AY126)))))</f>
        <v>0</v>
      </c>
      <c r="N127" s="139">
        <f>100*((((N126)/(AM126))/(((B126)/(AA126))+((C126)/(AB126))+((D126)/(AC126))+((E126)/(AD126))+((F126)/(AE126))+((G126)/(AF126))+((H126)/(AG126))+((I126)/(AH126))+((J126)/(AI126))+((K126)/(AJ126))+((L126)/(AK126))+((M126)/(AL126))+((N126)/(AM126))+((O126)/(AN126))+((P126)/(AO126))+((Q126)/(AP126))+((R126)/(AQ126))+((S126)/(AR126))+((T126)/(AS126))+((U126)/(AT126))+((V126)/(AU126))+((W126)/(AV126))+((X126)/(AW126))+((Y126)/(AX126))+((Z126)/(AY126)))))</f>
        <v>25.094916857795944</v>
      </c>
      <c r="O127" s="139">
        <f>100*((((O126)/(AN126))/(((B126)/(AA126))+((C126)/(AB126))+((D126)/(AC126))+((E126)/(AD126))+((F126)/(AE126))+((G126)/(AF126))+((H126)/(AG126))+((I126)/(AH126))+((J126)/(AI126))+((K126)/(AJ126))+((L126)/(AK126))+((M126)/(AL126))+((N126)/(AM126))+((O126)/(AN126))+((P126)/(AO126))+((Q126)/(AP126))+((R126)/(AQ126))+((S126)/(AR126))+((T126)/(AS126))+((U126)/(AT126))+((V126)/(AU126))+((W126)/(AV126))+((X126)/(AW126))+((Y126)/(AX126))+((Z126)/(AY126)))))</f>
        <v>0.38488141615512511</v>
      </c>
      <c r="P127" s="139">
        <f>100*((((P126)/(AO126))/(((B126)/(AA126))+((C126)/(AB126))+((D126)/(AC126))+((E126)/(AD126))+((F126)/(AE126))+((G126)/(AF126))+((H126)/(AG126))+((I126)/(AH126))+((J126)/(AI126))+((K126)/(AJ126))+((L126)/(AK126))+((M126)/(AL126))+((N126)/(AM126))+((O126)/(AN126))+((P126)/(AO126))+((Q126)/(AP126))+((R126)/(AQ126))+((S126)/(AR126))+((T126)/(AS126))+((U126)/(AT126))+((V126)/(AU126))+((W126)/(AV126))+((X126)/(AW126))+((Y126)/(AX126))+((Z126)/(AY126)))))</f>
        <v>0</v>
      </c>
      <c r="Q127" s="139">
        <f>100*((((Q126)/(AP126))/(((B126)/(AA126))+((C126)/(AB126))+((D126)/(AC126))+((E126)/(AD126))+((F126)/(AE126))+((G126)/(AF126))+((H126)/(AG126))+((I126)/(AH126))+((J126)/(AI126))+((K126)/(AJ126))+((L126)/(AK126))+((M126)/(AL126))+((N126)/(AM126))+((O126)/(AN126))+((P126)/(AO126))+((Q126)/(AP126))+((R126)/(AQ126))+((S126)/(AR126))+((T126)/(AS126))+((U126)/(AT126))+((V126)/(AU126))+((W126)/(AV126))+((X126)/(AW126))+((Y126)/(AX126))+((Z126)/(AY126)))))</f>
        <v>0</v>
      </c>
      <c r="R127" s="139">
        <f>100*((((R126)/(AQ126))/(((B126)/(AA126))+((C126)/(AB126))+((D126)/(AC126))+((E126)/(AD126))+((F126)/(AE126))+((G126)/(AF126))+((H126)/(AG126))+((I126)/(AH126))+((J126)/(AI126))+((K126)/(AJ126))+((L126)/(AK126))+((M126)/(AL126))+((N126)/(AM126))+((O126)/(AN126))+((P126)/(AO126))+((Q126)/(AP126))+((R126)/(AQ126))+((S126)/(AR126))+((T126)/(AS126))+((U126)/(AT126))+((V126)/(AU126))+((W126)/(AV126))+((X126)/(AW126))+((Y126)/(AX126))+((Z126)/(AY126)))))</f>
        <v>0</v>
      </c>
      <c r="S127" s="139">
        <f>100*((((S126)/(AR126))/(((B126)/(AA126))+((C126)/(AB126))+((D126)/(AC126))+((E126)/(AD126))+((F126)/(AE126))+((G126)/(AF126))+((H126)/(AG126))+((I126)/(AH126))+((J126)/(AI126))+((K126)/(AJ126))+((L126)/(AK126))+((M126)/(AL126))+((N126)/(AM126))+((O126)/(AN126))+((P126)/(AO126))+((Q126)/(AP126))+((R126)/(AQ126))+((S126)/(AR126))+((T126)/(AS126))+((U126)/(AT126))+((V126)/(AU126))+((W126)/(AV126))+((X126)/(AW126))+((Y126)/(AX126))+((Z126)/(AY126)))))</f>
        <v>0</v>
      </c>
      <c r="T127" s="139">
        <f>100*((((T126)/(AS126))/(((B126)/(AA126))+((C126)/(AB126))+((D126)/(AC126))+((E126)/(AD126))+((F126)/(AE126))+((G126)/(AF126))+((H126)/(AG126))+((I126)/(AH126))+((J126)/(AI126))+((K126)/(AJ126))+((L126)/(AK126))+((M126)/(AL126))+((N126)/(AM126))+((O126)/(AN126))+((P126)/(AO126))+((Q126)/(AP126))+((R126)/(AQ126))+((S126)/(AR126))+((T126)/(AS126))+((U126)/(AT126))+((V126)/(AU126))+((W126)/(AV126))+((X126)/(AW126))+((Y126)/(AX126))+((Z126)/(AY126)))))</f>
        <v>0</v>
      </c>
      <c r="U127" s="139">
        <f>100*((((U126)/(AT126))/(((B126)/(AA126))+((C126)/(AB126))+((D126)/(AC126))+((E126)/(AD126))+((F126)/(AE126))+((G126)/(AF126))+((H126)/(AG126))+((I126)/(AH126))+((J126)/(AI126))+((K126)/(AJ126))+((L126)/(AK126))+((M126)/(AL126))+((N126)/(AM126))+((O126)/(AN126))+((P126)/(AO126))+((Q126)/(AP126))+((R126)/(AQ126))+((S126)/(AR126))+((T126)/(AS126))+((U126)/(AT126))+((V126)/(AU126))+((W126)/(AV126))+((X126)/(AW126))+((Y126)/(AX126))+((Z126)/(AY126)))))</f>
        <v>0</v>
      </c>
      <c r="V127" s="139">
        <f>100*((((V126)/(AU126))/(((B126)/(AA126))+((C126)/(AB126))+((D126)/(AC126))+((E126)/(AD126))+((F126)/(AE126))+((G126)/(AF126))+((H126)/(AG126))+((I126)/(AH126))+((J126)/(AI126))+((K126)/(AJ126))+((L126)/(AK126))+((M126)/(AL126))+((N126)/(AM126))+((O126)/(AN126))+((P126)/(AO126))+((Q126)/(AP126))+((R126)/(AQ126))+((S126)/(AR126))+((T126)/(AS126))+((U126)/(AT126))+((V126)/(AU126))+((W126)/(AV126))+((X126)/(AW126))+((Y126)/(AX126))+((Z126)/(AY126)))))</f>
        <v>0</v>
      </c>
      <c r="W127" s="139">
        <f>100*((((W126)/(AV126))/(((B126)/(AA126))+((C126)/(AB126))+((D126)/(AC126))+((E126)/(AD126))+((F126)/(AE126))+((G126)/(AF126))+((H126)/(AG126))+((I126)/(AH126))+((J126)/(AI126))+((K126)/(AJ126))+((L126)/(AK126))+((M126)/(AL126))+((N126)/(AM126))+((O126)/(AN126))+((P126)/(AO126))+((Q126)/(AP126))+((R126)/(AQ126))+((S126)/(AR126))+((T126)/(AS126))+((U126)/(AT126))+((V126)/(AU126))+((W126)/(AV126))+((X126)/(AW126))+((Y126)/(AX126))+((Z126)/(AY126)))))</f>
        <v>0</v>
      </c>
      <c r="X127" s="89">
        <f>100*((((X126)/(AW126))/(((B126)/(AA126))+((C126)/(AB126))+((D126)/(AC126))+((E126)/(AD126))+((F126)/(AE126))+((G126)/(AF126))+((H126)/(AG126))+((I126)/(AH126))+((J126)/(AI126))+((K126)/(AJ126))+((L126)/(AK126))+((M126)/(AL126))+((N126)/(AM126))+((O126)/(AN126))+((P126)/(AO126))+((Q126)/(AP126))+((R126)/(AQ126))+((S126)/(AR126))+((T126)/(AS126))+((U126)/(AT126))+((V126)/(AU126))+((W126)/(AV126))+((X126)/(AW126))+((Y126)/(AX126))+((Z126)/(AY126)))))</f>
        <v>0</v>
      </c>
      <c r="Y127" s="89">
        <f>100*((((Y126)/(AX126))/(((B126)/(AA126))+((C126)/(AB126))+((D126)/(AC126))+((E126)/(AD126))+((F126)/(AE126))+((G126)/(AF126))+((H126)/(AG126))+((I126)/(AH126))+((J126)/(AI126))+((K126)/(AJ126))+((L126)/(AK126))+((M126)/(AL126))+((N126)/(AM126))+((O126)/(AN126))+((P126)/(AO126))+((Q126)/(AP126))+((R126)/(AQ126))+((S126)/(AR126))+((T126)/(AS126))+((U126)/(AT126))+((V126)/(AU126))+((W126)/(AV126))+((X126)/(AW126))+((Y126)/(AX126))+((Z126)/(AY126)))))</f>
        <v>0</v>
      </c>
      <c r="Z127" s="89">
        <f>100*((((Z126)/(AY126))/(((B126)/(AA126))+((C126)/(AB126))+((D126)/(AC126))+((E126)/(AD126))+((F126)/(AE126))+((G126)/(AF126))+((H126)/(AG126))+((I126)/(AH126))+((J126)/(AI126))+((K126)/(AJ126))+((L126)/(AK126))+((M126)/(AL126))+((N126)/(AM126))+((O126)/(AN126))+((P126)/(AO126))+((Q126)/(AP126))+((R126)/(AQ126))+((S126)/(AR126))+((T126)/(AS126))+((U126)/(AT126))+((V126)/(AU126))+((W126)/(AV126))+((X126)/(AW126))+((Y126)/(AX126))+((Z126)/(AY126)))))</f>
        <v>0</v>
      </c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89"/>
      <c r="AN127" s="89"/>
      <c r="AO127" s="89"/>
      <c r="AP127" s="89"/>
      <c r="AQ127" s="89"/>
      <c r="AR127" s="89"/>
      <c r="AS127" s="89"/>
      <c r="AT127" s="89"/>
      <c r="AU127" s="89"/>
      <c r="AV127" s="89"/>
      <c r="AW127" s="89"/>
      <c r="AX127" s="89"/>
      <c r="AY127" s="89"/>
      <c r="BB127" s="89"/>
    </row>
    <row r="128" spans="1:54" ht="21" x14ac:dyDescent="0.35">
      <c r="A128" s="89">
        <f>599-B128</f>
        <v>237.61082454699533</v>
      </c>
      <c r="B128" s="89">
        <f>599*B127/100</f>
        <v>361.38917545300467</v>
      </c>
      <c r="C128" s="89">
        <f>599*C127/100</f>
        <v>7.8761972392054505</v>
      </c>
      <c r="D128" s="89">
        <f t="shared" ref="D128:Z128" si="33">599*D127/100</f>
        <v>0</v>
      </c>
      <c r="E128" s="89">
        <f t="shared" si="33"/>
        <v>0</v>
      </c>
      <c r="F128" s="89">
        <f t="shared" si="33"/>
        <v>0</v>
      </c>
      <c r="G128" s="89">
        <f t="shared" si="33"/>
        <v>73.674250645030696</v>
      </c>
      <c r="H128" s="89">
        <f t="shared" si="33"/>
        <v>0.47611682335456423</v>
      </c>
      <c r="I128" s="89">
        <f t="shared" si="33"/>
        <v>0.27594815226783687</v>
      </c>
      <c r="J128" s="89">
        <f t="shared" si="33"/>
        <v>0</v>
      </c>
      <c r="K128" s="89">
        <f t="shared" si="33"/>
        <v>0</v>
      </c>
      <c r="L128" s="89">
        <f t="shared" si="33"/>
        <v>2.6843200261699001</v>
      </c>
      <c r="M128" s="89">
        <f t="shared" si="33"/>
        <v>0</v>
      </c>
      <c r="N128" s="89">
        <f t="shared" si="33"/>
        <v>150.31855197819769</v>
      </c>
      <c r="O128" s="89">
        <f t="shared" si="33"/>
        <v>2.3054396827691992</v>
      </c>
      <c r="P128" s="89">
        <f t="shared" si="33"/>
        <v>0</v>
      </c>
      <c r="Q128" s="89">
        <f t="shared" si="33"/>
        <v>0</v>
      </c>
      <c r="R128" s="89">
        <f t="shared" si="33"/>
        <v>0</v>
      </c>
      <c r="S128" s="89">
        <f t="shared" si="33"/>
        <v>0</v>
      </c>
      <c r="T128" s="89">
        <f t="shared" si="33"/>
        <v>0</v>
      </c>
      <c r="U128" s="89">
        <f t="shared" si="33"/>
        <v>0</v>
      </c>
      <c r="V128" s="89">
        <f t="shared" si="33"/>
        <v>0</v>
      </c>
      <c r="W128" s="89">
        <f t="shared" si="33"/>
        <v>0</v>
      </c>
      <c r="X128" s="89">
        <f t="shared" si="33"/>
        <v>0</v>
      </c>
      <c r="Y128" s="89">
        <f t="shared" si="33"/>
        <v>0</v>
      </c>
      <c r="Z128" s="89">
        <f t="shared" si="33"/>
        <v>0</v>
      </c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  <c r="AK128" s="89"/>
      <c r="AL128" s="89"/>
      <c r="AM128" s="89"/>
      <c r="AN128" s="89"/>
      <c r="AO128" s="89"/>
      <c r="AP128" s="89"/>
      <c r="AQ128" s="89"/>
      <c r="AR128" s="89"/>
      <c r="AS128" s="89"/>
      <c r="AT128" s="89"/>
      <c r="AU128" s="89"/>
      <c r="AV128" s="89"/>
      <c r="AW128" s="89"/>
      <c r="AX128" s="89"/>
      <c r="AY128" s="89"/>
      <c r="BB128" s="89"/>
    </row>
    <row r="129" spans="1:54" ht="21" x14ac:dyDescent="0.35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>
        <v>1</v>
      </c>
      <c r="R129" s="49">
        <f>Q129*100/599</f>
        <v>0.1669449081803005</v>
      </c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89"/>
      <c r="AN129" s="89"/>
      <c r="AO129" s="89"/>
      <c r="AP129" s="89"/>
      <c r="AQ129" s="89"/>
      <c r="AR129" s="89"/>
      <c r="AS129" s="89"/>
      <c r="AT129" s="89"/>
      <c r="AU129" s="89"/>
      <c r="AV129" s="89"/>
      <c r="AW129" s="89"/>
      <c r="AX129" s="89"/>
      <c r="AY129" s="89"/>
      <c r="BB129" s="89"/>
    </row>
    <row r="130" spans="1:54" ht="21" x14ac:dyDescent="0.35">
      <c r="A130" s="89">
        <f>B130+C130+D130+E130+F130+G130+H130+I130+J130+K130+L130+M130+N130+O130+P130</f>
        <v>238</v>
      </c>
      <c r="B130" s="89"/>
      <c r="C130" s="89">
        <v>8</v>
      </c>
      <c r="D130" s="89"/>
      <c r="E130" s="89"/>
      <c r="F130" s="89"/>
      <c r="G130" s="89">
        <v>74</v>
      </c>
      <c r="H130" s="89"/>
      <c r="I130" s="89"/>
      <c r="J130" s="89"/>
      <c r="K130" s="89"/>
      <c r="L130" s="89">
        <v>3</v>
      </c>
      <c r="M130" s="89"/>
      <c r="N130" s="89">
        <v>150</v>
      </c>
      <c r="O130" s="89">
        <v>3</v>
      </c>
      <c r="P130" s="89"/>
      <c r="Q130">
        <v>2</v>
      </c>
      <c r="R130" s="49">
        <f t="shared" ref="R130" si="34">Q130*100/599</f>
        <v>0.333889816360601</v>
      </c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  <c r="AJ130" s="89"/>
      <c r="AK130" s="89"/>
      <c r="AL130" s="89"/>
      <c r="AM130" s="89"/>
      <c r="AN130" s="89"/>
      <c r="AO130" s="89"/>
      <c r="AP130" s="89"/>
      <c r="AQ130" s="89"/>
      <c r="AR130" s="89"/>
      <c r="AS130" s="89"/>
      <c r="AT130" s="89"/>
      <c r="AU130" s="89"/>
      <c r="AV130" s="89"/>
      <c r="AW130" s="89"/>
      <c r="AX130" s="89"/>
      <c r="AY130" s="89"/>
      <c r="BB130" s="89"/>
    </row>
    <row r="131" spans="1:54" ht="21" x14ac:dyDescent="0.35">
      <c r="A131" s="89" t="s">
        <v>277</v>
      </c>
      <c r="B131" s="89">
        <f>K128+O128+U128+Q128+L128+M128+P128+N128</f>
        <v>155.30831168713678</v>
      </c>
      <c r="C131" s="89" t="s">
        <v>242</v>
      </c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>
        <v>3</v>
      </c>
      <c r="R131" s="49">
        <f>Q131*100/599</f>
        <v>0.5008347245409015</v>
      </c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  <c r="AL131" s="89"/>
      <c r="AM131" s="89"/>
      <c r="AN131" s="89"/>
      <c r="AO131" s="89"/>
      <c r="AP131" s="89"/>
      <c r="AQ131" s="89"/>
      <c r="AR131" s="89"/>
      <c r="AS131" s="89"/>
      <c r="AT131" s="89"/>
      <c r="AU131" s="89"/>
      <c r="AV131" s="89"/>
      <c r="AW131" s="89"/>
      <c r="AX131" s="89"/>
      <c r="AY131" s="89"/>
      <c r="BB131" s="89"/>
    </row>
    <row r="132" spans="1:54" ht="21" x14ac:dyDescent="0.35">
      <c r="A132" s="89" t="s">
        <v>237</v>
      </c>
      <c r="B132" s="89">
        <f>C128+D128+G128+H128+I128+J128+E128+F128</f>
        <v>82.302512859858538</v>
      </c>
      <c r="C132" s="89">
        <v>174</v>
      </c>
      <c r="D132" s="89"/>
      <c r="E132" s="89"/>
      <c r="F132" s="89"/>
      <c r="G132" s="89"/>
      <c r="H132" s="89"/>
      <c r="I132" s="89"/>
      <c r="J132" s="89"/>
      <c r="K132" s="89">
        <f>3-O130-U130</f>
        <v>0</v>
      </c>
      <c r="L132" s="89"/>
      <c r="M132" s="89"/>
      <c r="N132" s="89"/>
      <c r="O132" s="89"/>
      <c r="P132" s="89"/>
      <c r="Q132">
        <v>4</v>
      </c>
      <c r="R132" s="49">
        <f t="shared" ref="R132:R133" si="35">Q132*100/599</f>
        <v>0.667779632721202</v>
      </c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  <c r="AJ132" s="89"/>
      <c r="AK132" s="89"/>
      <c r="AL132" s="89"/>
      <c r="AM132" s="89"/>
      <c r="AN132" s="89"/>
      <c r="AO132" s="89"/>
      <c r="AP132" s="89"/>
      <c r="AQ132" s="89"/>
      <c r="AR132" s="89"/>
      <c r="AS132" s="89"/>
      <c r="AT132" s="89"/>
      <c r="AU132" s="89"/>
      <c r="AV132" s="89"/>
      <c r="AW132" s="89"/>
      <c r="AX132" s="89"/>
      <c r="AY132" s="89"/>
      <c r="BB132" s="89"/>
    </row>
    <row r="133" spans="1:54" ht="21" x14ac:dyDescent="0.35">
      <c r="A133" s="89"/>
      <c r="B133" s="179">
        <f>B131+B132</f>
        <v>237.61082454699533</v>
      </c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>
        <v>5</v>
      </c>
      <c r="R133" s="49">
        <f t="shared" si="35"/>
        <v>0.8347245409015025</v>
      </c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89"/>
      <c r="AO133" s="89"/>
      <c r="AP133" s="89"/>
      <c r="AQ133" s="89"/>
      <c r="AR133" s="89"/>
      <c r="AS133" s="89"/>
      <c r="AT133" s="89"/>
      <c r="AU133" s="89"/>
      <c r="AV133" s="89"/>
      <c r="AW133" s="89"/>
      <c r="AX133" s="89"/>
      <c r="AY133" s="89"/>
      <c r="BB133" s="89"/>
    </row>
    <row r="134" spans="1:54" ht="21" x14ac:dyDescent="0.35">
      <c r="BB134" s="89"/>
    </row>
    <row r="135" spans="1:54" ht="28.5" x14ac:dyDescent="0.45">
      <c r="A135" s="271" t="s">
        <v>272</v>
      </c>
      <c r="B135" s="266" t="s">
        <v>14</v>
      </c>
      <c r="C135" s="266" t="s">
        <v>15</v>
      </c>
      <c r="D135" s="266" t="s">
        <v>8</v>
      </c>
      <c r="E135" s="266" t="s">
        <v>9</v>
      </c>
      <c r="F135" s="266" t="s">
        <v>234</v>
      </c>
      <c r="G135" s="266" t="s">
        <v>56</v>
      </c>
      <c r="H135" s="266" t="s">
        <v>57</v>
      </c>
      <c r="I135" s="266" t="s">
        <v>58</v>
      </c>
      <c r="J135" s="266" t="s">
        <v>77</v>
      </c>
      <c r="K135" s="267" t="s">
        <v>204</v>
      </c>
      <c r="L135" s="266" t="s">
        <v>16</v>
      </c>
      <c r="M135" s="266" t="s">
        <v>13</v>
      </c>
      <c r="N135" s="266" t="s">
        <v>44</v>
      </c>
      <c r="O135" s="266" t="s">
        <v>55</v>
      </c>
      <c r="P135" s="266" t="s">
        <v>17</v>
      </c>
      <c r="Q135" s="266" t="s">
        <v>80</v>
      </c>
      <c r="R135" s="266" t="s">
        <v>81</v>
      </c>
      <c r="S135" s="266" t="s">
        <v>82</v>
      </c>
      <c r="T135" s="266" t="s">
        <v>83</v>
      </c>
      <c r="U135" s="266" t="s">
        <v>45</v>
      </c>
      <c r="V135" s="266" t="s">
        <v>43</v>
      </c>
      <c r="W135" s="266" t="s">
        <v>12</v>
      </c>
      <c r="X135" s="266" t="s">
        <v>0</v>
      </c>
      <c r="Y135" s="266" t="s">
        <v>11</v>
      </c>
      <c r="Z135" s="266" t="s">
        <v>10</v>
      </c>
      <c r="AA135" s="266" t="s">
        <v>14</v>
      </c>
      <c r="AB135" s="266" t="s">
        <v>15</v>
      </c>
      <c r="AC135" s="266" t="s">
        <v>8</v>
      </c>
      <c r="AD135" s="266" t="s">
        <v>9</v>
      </c>
      <c r="AE135" s="266" t="s">
        <v>234</v>
      </c>
      <c r="AF135" s="266" t="s">
        <v>56</v>
      </c>
      <c r="AG135" s="266" t="s">
        <v>57</v>
      </c>
      <c r="AH135" s="266" t="s">
        <v>58</v>
      </c>
      <c r="AI135" s="266" t="s">
        <v>77</v>
      </c>
      <c r="AJ135" s="267" t="s">
        <v>204</v>
      </c>
      <c r="AK135" s="266" t="s">
        <v>16</v>
      </c>
      <c r="AL135" s="266" t="s">
        <v>13</v>
      </c>
      <c r="AM135" s="266" t="s">
        <v>44</v>
      </c>
      <c r="AN135" s="266" t="s">
        <v>55</v>
      </c>
      <c r="AO135" s="266" t="s">
        <v>17</v>
      </c>
      <c r="AP135" s="266" t="s">
        <v>80</v>
      </c>
      <c r="AQ135" s="266" t="s">
        <v>81</v>
      </c>
      <c r="AR135" s="266" t="s">
        <v>82</v>
      </c>
      <c r="AS135" s="266" t="s">
        <v>83</v>
      </c>
      <c r="AT135" s="266" t="s">
        <v>45</v>
      </c>
      <c r="AU135" s="266" t="s">
        <v>43</v>
      </c>
      <c r="AV135" s="266" t="s">
        <v>12</v>
      </c>
      <c r="AW135" s="266" t="s">
        <v>0</v>
      </c>
      <c r="AX135" s="266" t="s">
        <v>11</v>
      </c>
      <c r="AY135" s="266" t="s">
        <v>10</v>
      </c>
      <c r="BB135" s="89"/>
    </row>
    <row r="136" spans="1:54" ht="21" x14ac:dyDescent="0.35">
      <c r="A136" s="89"/>
      <c r="B136" s="139">
        <f>100-C136-D136-E136-F136-G136-H136-I136-J136-K136-L136-M136-N136-O136-P136-Q136-R136-S136-T136-U136-V136-W136-X136-Y136-Z136</f>
        <v>73.55</v>
      </c>
      <c r="C136" s="177">
        <v>0.75</v>
      </c>
      <c r="D136" s="177"/>
      <c r="E136" s="177"/>
      <c r="F136" s="177"/>
      <c r="G136" s="177">
        <v>2.95</v>
      </c>
      <c r="H136" s="177"/>
      <c r="I136" s="177"/>
      <c r="J136" s="177"/>
      <c r="K136" s="177"/>
      <c r="L136" s="177">
        <v>0.5</v>
      </c>
      <c r="M136" s="177"/>
      <c r="N136" s="177">
        <v>21.5</v>
      </c>
      <c r="O136" s="177">
        <v>0.75</v>
      </c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  <c r="AA136" s="189">
        <v>55.84</v>
      </c>
      <c r="AB136" s="89">
        <v>28.0855</v>
      </c>
      <c r="AC136" s="89">
        <v>58.693399999999997</v>
      </c>
      <c r="AD136" s="89">
        <v>63.545999999999999</v>
      </c>
      <c r="AE136" s="89">
        <v>65.38</v>
      </c>
      <c r="AF136" s="89">
        <v>12.01</v>
      </c>
      <c r="AG136" s="89">
        <v>30.973762000000001</v>
      </c>
      <c r="AH136" s="89">
        <v>32.064999999999998</v>
      </c>
      <c r="AI136" s="89">
        <v>14.0067</v>
      </c>
      <c r="AJ136" s="89">
        <v>10.81</v>
      </c>
      <c r="AK136" s="89">
        <v>54.938043999999998</v>
      </c>
      <c r="AL136" s="89">
        <v>24.305</v>
      </c>
      <c r="AM136" s="89">
        <v>51.996099999999998</v>
      </c>
      <c r="AN136" s="89">
        <v>95.95</v>
      </c>
      <c r="AO136" s="89">
        <v>47.866999999999997</v>
      </c>
      <c r="AP136" s="89">
        <v>50.941499999999998</v>
      </c>
      <c r="AQ136" s="89">
        <v>92.906369999999995</v>
      </c>
      <c r="AR136" s="89">
        <v>183.84</v>
      </c>
      <c r="AS136" s="89">
        <v>180.94788</v>
      </c>
      <c r="AT136" s="89">
        <v>91.224000000000004</v>
      </c>
      <c r="AU136" s="89">
        <v>58.933194999999998</v>
      </c>
      <c r="AV136" s="89">
        <v>26.981539999999999</v>
      </c>
      <c r="AW136" s="89">
        <v>121.76</v>
      </c>
      <c r="AX136" s="89">
        <v>207.2</v>
      </c>
      <c r="AY136" s="89">
        <v>118.71</v>
      </c>
      <c r="BB136" s="89"/>
    </row>
    <row r="137" spans="1:54" ht="21" x14ac:dyDescent="0.35">
      <c r="A137" s="89" t="s">
        <v>241</v>
      </c>
      <c r="B137" s="139">
        <f>100*((((B136)/(AA136))/(((B136)/(AA136))+((C136)/(AB136))+((D136)/(AC136))+((E136)/(AD136))+((F136)/(AE136))+((G136)/(AF136))+((H136)/(AG136))+((I136)/(AH136))+((J136)/(AI136))+((K136)/(AJ136))+((L136)/(AK136))+((M136)/(AL136))+((N136)/(AM136))+((O136)/(AN136))+((P136)/(AO136))+((Q136)/(AP136))+((R136)/(AQ136))+((S136)/(AR136))+((T136)/(AS136))+((U136)/(AT136))+((V136)/(AU136))+((W136)/(AV136))+((X136)/(AW136))+((Y136)/(AX136))+((Z136)/(AY136)))))</f>
        <v>65.209002662376193</v>
      </c>
      <c r="C137" s="139">
        <f>100*((((C136)/(AB136))/(((B136)/(AA136))+((C136)/(AB136))+((D136)/(AC136))+((E136)/(AD136))+((F136)/(AE136))+((G136)/(AF136))+((H136)/(AG136))+((I136)/(AH136))+((J136)/(AI136))+((K136)/(AJ136))+((L136)/(AK136))+((M136)/(AL136))+((N136)/(AM136))+((O136)/(AN136))+((P136)/(AO136))+((Q136)/(AP136))+((R136)/(AQ136))+((S136)/(AR136))+((T136)/(AS136))+((U136)/(AT136))+((V136)/(AU136))+((W136)/(AV136))+((X136)/(AW136))+((Y136)/(AX136))+((Z136)/(AY136)))))</f>
        <v>1.3220546071922026</v>
      </c>
      <c r="D137" s="139">
        <f>100*((((D136)/(AC136))/(((B136)/(AA136))+((C136)/(AB136))+((D136)/(AC136))+((E136)/(AD136))+((F136)/(AE136))+((G136)/(AF136))+((H136)/(AG136))+((I136)/(AH136))+((J136)/(AI136))+((K136)/(AJ136))+((L136)/(AK136))+((M136)/(AL136))+((N136)/(AM136))+((O136)/(AN136))+((P136)/(AO136))+((Q136)/(AP136))+((R136)/(AQ136))+((S136)/(AR136))+((T136)/(AS136))+((U136)/(AT136))+((V136)/(AU136))+((W136)/(AV136))+((X136)/(AW136))+((Y136)/(AX136))+((Z136)/(AY136)))))</f>
        <v>0</v>
      </c>
      <c r="E137" s="139">
        <f>100*((((E136)/(AD136))/(((B136)/(AA136))+((C136)/(AB136))+((D136)/(AC136))+((E136)/(AD136))+((F136)/(AE136))+((G136)/(AF136))+((H136)/(AG136))+((I136)/(AH136))+((J136)/(AI136))+((K136)/(AJ136))+((L136)/(AK136))+((M136)/(AL136))+((N136)/(AM136))+((O136)/(AN136))+((P136)/(AO136))+((Q136)/(AP136))+((R136)/(AQ136))+((S136)/(AR136))+((T136)/(AS136))+((U136)/(AT136))+((V136)/(AU136))+((W136)/(AV136))+((X136)/(AW136))+((Y136)/(AX136))+((Z136)/(AY136)))))</f>
        <v>0</v>
      </c>
      <c r="F137" s="139">
        <f>100*((((F136)/(AE136))/(((B136)/(AA136))+((C136)/(AB136))+((D136)/(AC136))+((E136)/(AD136))+((F136)/(AE136))+((G136)/(AF136))+((H136)/(AG136))+((I136)/(AH136))+((J136)/(AI136))+((K136)/(AJ136))+((L136)/(AK136))+((M136)/(AL136))+((N136)/(AM136))+((O136)/(AN136))+((P136)/(AO136))+((Q136)/(AP136))+((R136)/(AQ136))+((S136)/(AR136))+((T136)/(AS136))+((U136)/(AT136))+((V136)/(AU136))+((W136)/(AV136))+((X136)/(AW136))+((Y136)/(AX136))+((Z136)/(AY136)))))</f>
        <v>0</v>
      </c>
      <c r="G137" s="139">
        <f>100*((((G136)/(AF136))/(((B136)/(AA136))+((C136)/(AB136))+((D136)/(AC136))+((E136)/(AD136))+((F136)/(AE136))+((G136)/(AF136))+((H136)/(AG136))+((I136)/(AH136))+((J136)/(AI136))+((K136)/(AJ136))+((L136)/(AK136))+((M136)/(AL136))+((N136)/(AM136))+((O136)/(AN136))+((P136)/(AO136))+((Q136)/(AP136))+((R136)/(AQ136))+((S136)/(AR136))+((T136)/(AS136))+((U136)/(AT136))+((V136)/(AU136))+((W136)/(AV136))+((X136)/(AW136))+((Y136)/(AX136))+((Z136)/(AY136)))))</f>
        <v>12.160440275034693</v>
      </c>
      <c r="H137" s="139">
        <f>100*((((H136)/(AG136))/(((B136)/(AA136))+((C136)/(AB136))+((D136)/(AC136))+((E136)/(AD136))+((F136)/(AE136))+((G136)/(AF136))+((H136)/(AG136))+((I136)/(AH136))+((J136)/(AI136))+((K136)/(AJ136))+((L136)/(AK136))+((M136)/(AL136))+((N136)/(AM136))+((O136)/(AN136))+((P136)/(AO136))+((Q136)/(AP136))+((R136)/(AQ136))+((S136)/(AR136))+((T136)/(AS136))+((U136)/(AT136))+((V136)/(AU136))+((W136)/(AV136))+((X136)/(AW136))+((Y136)/(AX136))+((Z136)/(AY136)))))</f>
        <v>0</v>
      </c>
      <c r="I137" s="139">
        <f>100*((((I136)/(AH136))/(((B136)/(AA136))+((C136)/(AB136))+((D136)/(AC136))+((E136)/(AD136))+((F136)/(AE136))+((G136)/(AF136))+((H136)/(AG136))+((I136)/(AH136))+((J136)/(AI136))+((K136)/(AJ136))+((L136)/(AK136))+((M136)/(AL136))+((N136)/(AM136))+((O136)/(AN136))+((P136)/(AO136))+((Q136)/(AP136))+((R136)/(AQ136))+((S136)/(AR136))+((T136)/(AS136))+((U136)/(AT136))+((V136)/(AU136))+((W136)/(AV136))+((X136)/(AW136))+((Y136)/(AX136))+((Z136)/(AY136)))))</f>
        <v>0</v>
      </c>
      <c r="J137" s="139">
        <f>100*((((J136)/(AI136))/(((B136)/(AA136))+((C136)/(AB136))+((D136)/(AC136))+((E136)/(AD136))+((F136)/(AE136))+((G136)/(AF136))+((H136)/(AG136))+((I136)/(AH136))+((J136)/(AI136))+((K136)/(AJ136))+((L136)/(AK136))+((M136)/(AL136))+((N136)/(AM136))+((O136)/(AN136))+((P136)/(AO136))+((Q136)/(AP136))+((R136)/(AQ136))+((S136)/(AR136))+((T136)/(AS136))+((U136)/(AT136))+((V136)/(AU136))+((W136)/(AV136))+((X136)/(AW136))+((Y136)/(AX136))+((Z136)/(AY136)))))</f>
        <v>0</v>
      </c>
      <c r="K137" s="139">
        <f>100*((((K136)/(AJ136))/(((B136)/(AA136))+((C136)/(AB136))+((D136)/(AC136))+((E136)/(AD136))+((F136)/(AE136))+((G136)/(AF136))+((H136)/(AG136))+((I136)/(AH136))+((J136)/(AI136))+((K136)/(AJ136))+((L136)/(AK136))+((M136)/(AL136))+((N136)/(AM136))+((O136)/(AN136))+((P136)/(AO136))+((Q136)/(AP136))+((R136)/(AQ136))+((S136)/(AR136))+((T136)/(AS136))+((U136)/(AT136))+((V136)/(AU136))+((W136)/(AV136))+((X136)/(AW136))+((Y136)/(AX136))+((Z136)/(AY136)))))</f>
        <v>0</v>
      </c>
      <c r="L137" s="139">
        <f>100*((((L136)/(AK136))/(((B136)/(AA136))+((C136)/(AB136))+((D136)/(AC136))+((E136)/(AD136))+((F136)/(AE136))+((G136)/(AF136))+((H136)/(AG136))+((I136)/(AH136))+((J136)/(AI136))+((K136)/(AJ136))+((L136)/(AK136))+((M136)/(AL136))+((N136)/(AM136))+((O136)/(AN136))+((P136)/(AO136))+((Q136)/(AP136))+((R136)/(AQ136))+((S136)/(AR136))+((T136)/(AS136))+((U136)/(AT136))+((V136)/(AU136))+((W136)/(AV136))+((X136)/(AW136))+((Y136)/(AX136))+((Z136)/(AY136)))))</f>
        <v>0.4505750110105437</v>
      </c>
      <c r="M137" s="139">
        <f>100*((((M136)/(AL136))/(((B136)/(AA136))+((C136)/(AB136))+((D136)/(AC136))+((E136)/(AD136))+((F136)/(AE136))+((G136)/(AF136))+((H136)/(AG136))+((I136)/(AH136))+((J136)/(AI136))+((K136)/(AJ136))+((L136)/(AK136))+((M136)/(AL136))+((N136)/(AM136))+((O136)/(AN136))+((P136)/(AO136))+((Q136)/(AP136))+((R136)/(AQ136))+((S136)/(AR136))+((T136)/(AS136))+((U136)/(AT136))+((V136)/(AU136))+((W136)/(AV136))+((X136)/(AW136))+((Y136)/(AX136))+((Z136)/(AY136)))))</f>
        <v>0</v>
      </c>
      <c r="N137" s="139">
        <f>100*((((N136)/(AM136))/(((B136)/(AA136))+((C136)/(AB136))+((D136)/(AC136))+((E136)/(AD136))+((F136)/(AE136))+((G136)/(AF136))+((H136)/(AG136))+((I136)/(AH136))+((J136)/(AI136))+((K136)/(AJ136))+((L136)/(AK136))+((M136)/(AL136))+((N136)/(AM136))+((O136)/(AN136))+((P136)/(AO136))+((Q136)/(AP136))+((R136)/(AQ136))+((S136)/(AR136))+((T136)/(AS136))+((U136)/(AT136))+((V136)/(AU136))+((W136)/(AV136))+((X136)/(AW136))+((Y136)/(AX136))+((Z136)/(AY136)))))</f>
        <v>20.470949177890315</v>
      </c>
      <c r="O137" s="139">
        <f>100*((((O136)/(AN136))/(((B136)/(AA136))+((C136)/(AB136))+((D136)/(AC136))+((E136)/(AD136))+((F136)/(AE136))+((G136)/(AF136))+((H136)/(AG136))+((I136)/(AH136))+((J136)/(AI136))+((K136)/(AJ136))+((L136)/(AK136))+((M136)/(AL136))+((N136)/(AM136))+((O136)/(AN136))+((P136)/(AO136))+((Q136)/(AP136))+((R136)/(AQ136))+((S136)/(AR136))+((T136)/(AS136))+((U136)/(AT136))+((V136)/(AU136))+((W136)/(AV136))+((X136)/(AW136))+((Y136)/(AX136))+((Z136)/(AY136)))))</f>
        <v>0.38697826649605627</v>
      </c>
      <c r="P137" s="139">
        <f>100*((((P136)/(AO136))/(((B136)/(AA136))+((C136)/(AB136))+((D136)/(AC136))+((E136)/(AD136))+((F136)/(AE136))+((G136)/(AF136))+((H136)/(AG136))+((I136)/(AH136))+((J136)/(AI136))+((K136)/(AJ136))+((L136)/(AK136))+((M136)/(AL136))+((N136)/(AM136))+((O136)/(AN136))+((P136)/(AO136))+((Q136)/(AP136))+((R136)/(AQ136))+((S136)/(AR136))+((T136)/(AS136))+((U136)/(AT136))+((V136)/(AU136))+((W136)/(AV136))+((X136)/(AW136))+((Y136)/(AX136))+((Z136)/(AY136)))))</f>
        <v>0</v>
      </c>
      <c r="Q137" s="139">
        <f>100*((((Q136)/(AP136))/(((B136)/(AA136))+((C136)/(AB136))+((D136)/(AC136))+((E136)/(AD136))+((F136)/(AE136))+((G136)/(AF136))+((H136)/(AG136))+((I136)/(AH136))+((J136)/(AI136))+((K136)/(AJ136))+((L136)/(AK136))+((M136)/(AL136))+((N136)/(AM136))+((O136)/(AN136))+((P136)/(AO136))+((Q136)/(AP136))+((R136)/(AQ136))+((S136)/(AR136))+((T136)/(AS136))+((U136)/(AT136))+((V136)/(AU136))+((W136)/(AV136))+((X136)/(AW136))+((Y136)/(AX136))+((Z136)/(AY136)))))</f>
        <v>0</v>
      </c>
      <c r="R137" s="139">
        <f>100*((((R136)/(AQ136))/(((B136)/(AA136))+((C136)/(AB136))+((D136)/(AC136))+((E136)/(AD136))+((F136)/(AE136))+((G136)/(AF136))+((H136)/(AG136))+((I136)/(AH136))+((J136)/(AI136))+((K136)/(AJ136))+((L136)/(AK136))+((M136)/(AL136))+((N136)/(AM136))+((O136)/(AN136))+((P136)/(AO136))+((Q136)/(AP136))+((R136)/(AQ136))+((S136)/(AR136))+((T136)/(AS136))+((U136)/(AT136))+((V136)/(AU136))+((W136)/(AV136))+((X136)/(AW136))+((Y136)/(AX136))+((Z136)/(AY136)))))</f>
        <v>0</v>
      </c>
      <c r="S137" s="139">
        <f>100*((((S136)/(AR136))/(((B136)/(AA136))+((C136)/(AB136))+((D136)/(AC136))+((E136)/(AD136))+((F136)/(AE136))+((G136)/(AF136))+((H136)/(AG136))+((I136)/(AH136))+((J136)/(AI136))+((K136)/(AJ136))+((L136)/(AK136))+((M136)/(AL136))+((N136)/(AM136))+((O136)/(AN136))+((P136)/(AO136))+((Q136)/(AP136))+((R136)/(AQ136))+((S136)/(AR136))+((T136)/(AS136))+((U136)/(AT136))+((V136)/(AU136))+((W136)/(AV136))+((X136)/(AW136))+((Y136)/(AX136))+((Z136)/(AY136)))))</f>
        <v>0</v>
      </c>
      <c r="T137" s="139">
        <f>100*((((T136)/(AS136))/(((B136)/(AA136))+((C136)/(AB136))+((D136)/(AC136))+((E136)/(AD136))+((F136)/(AE136))+((G136)/(AF136))+((H136)/(AG136))+((I136)/(AH136))+((J136)/(AI136))+((K136)/(AJ136))+((L136)/(AK136))+((M136)/(AL136))+((N136)/(AM136))+((O136)/(AN136))+((P136)/(AO136))+((Q136)/(AP136))+((R136)/(AQ136))+((S136)/(AR136))+((T136)/(AS136))+((U136)/(AT136))+((V136)/(AU136))+((W136)/(AV136))+((X136)/(AW136))+((Y136)/(AX136))+((Z136)/(AY136)))))</f>
        <v>0</v>
      </c>
      <c r="U137" s="139">
        <f>100*((((U136)/(AT136))/(((B136)/(AA136))+((C136)/(AB136))+((D136)/(AC136))+((E136)/(AD136))+((F136)/(AE136))+((G136)/(AF136))+((H136)/(AG136))+((I136)/(AH136))+((J136)/(AI136))+((K136)/(AJ136))+((L136)/(AK136))+((M136)/(AL136))+((N136)/(AM136))+((O136)/(AN136))+((P136)/(AO136))+((Q136)/(AP136))+((R136)/(AQ136))+((S136)/(AR136))+((T136)/(AS136))+((U136)/(AT136))+((V136)/(AU136))+((W136)/(AV136))+((X136)/(AW136))+((Y136)/(AX136))+((Z136)/(AY136)))))</f>
        <v>0</v>
      </c>
      <c r="V137" s="139">
        <f>100*((((V136)/(AU136))/(((B136)/(AA136))+((C136)/(AB136))+((D136)/(AC136))+((E136)/(AD136))+((F136)/(AE136))+((G136)/(AF136))+((H136)/(AG136))+((I136)/(AH136))+((J136)/(AI136))+((K136)/(AJ136))+((L136)/(AK136))+((M136)/(AL136))+((N136)/(AM136))+((O136)/(AN136))+((P136)/(AO136))+((Q136)/(AP136))+((R136)/(AQ136))+((S136)/(AR136))+((T136)/(AS136))+((U136)/(AT136))+((V136)/(AU136))+((W136)/(AV136))+((X136)/(AW136))+((Y136)/(AX136))+((Z136)/(AY136)))))</f>
        <v>0</v>
      </c>
      <c r="W137" s="139">
        <f>100*((((W136)/(AV136))/(((B136)/(AA136))+((C136)/(AB136))+((D136)/(AC136))+((E136)/(AD136))+((F136)/(AE136))+((G136)/(AF136))+((H136)/(AG136))+((I136)/(AH136))+((J136)/(AI136))+((K136)/(AJ136))+((L136)/(AK136))+((M136)/(AL136))+((N136)/(AM136))+((O136)/(AN136))+((P136)/(AO136))+((Q136)/(AP136))+((R136)/(AQ136))+((S136)/(AR136))+((T136)/(AS136))+((U136)/(AT136))+((V136)/(AU136))+((W136)/(AV136))+((X136)/(AW136))+((Y136)/(AX136))+((Z136)/(AY136)))))</f>
        <v>0</v>
      </c>
      <c r="X137" s="89">
        <f>100*((((X136)/(AW136))/(((B136)/(AA136))+((C136)/(AB136))+((D136)/(AC136))+((E136)/(AD136))+((F136)/(AE136))+((G136)/(AF136))+((H136)/(AG136))+((I136)/(AH136))+((J136)/(AI136))+((K136)/(AJ136))+((L136)/(AK136))+((M136)/(AL136))+((N136)/(AM136))+((O136)/(AN136))+((P136)/(AO136))+((Q136)/(AP136))+((R136)/(AQ136))+((S136)/(AR136))+((T136)/(AS136))+((U136)/(AT136))+((V136)/(AU136))+((W136)/(AV136))+((X136)/(AW136))+((Y136)/(AX136))+((Z136)/(AY136)))))</f>
        <v>0</v>
      </c>
      <c r="Y137" s="89">
        <f>100*((((Y136)/(AX136))/(((B136)/(AA136))+((C136)/(AB136))+((D136)/(AC136))+((E136)/(AD136))+((F136)/(AE136))+((G136)/(AF136))+((H136)/(AG136))+((I136)/(AH136))+((J136)/(AI136))+((K136)/(AJ136))+((L136)/(AK136))+((M136)/(AL136))+((N136)/(AM136))+((O136)/(AN136))+((P136)/(AO136))+((Q136)/(AP136))+((R136)/(AQ136))+((S136)/(AR136))+((T136)/(AS136))+((U136)/(AT136))+((V136)/(AU136))+((W136)/(AV136))+((X136)/(AW136))+((Y136)/(AX136))+((Z136)/(AY136)))))</f>
        <v>0</v>
      </c>
      <c r="Z137" s="89">
        <f>100*((((Z136)/(AY136))/(((B136)/(AA136))+((C136)/(AB136))+((D136)/(AC136))+((E136)/(AD136))+((F136)/(AE136))+((G136)/(AF136))+((H136)/(AG136))+((I136)/(AH136))+((J136)/(AI136))+((K136)/(AJ136))+((L136)/(AK136))+((M136)/(AL136))+((N136)/(AM136))+((O136)/(AN136))+((P136)/(AO136))+((Q136)/(AP136))+((R136)/(AQ136))+((S136)/(AR136))+((T136)/(AS136))+((U136)/(AT136))+((V136)/(AU136))+((W136)/(AV136))+((X136)/(AW136))+((Y136)/(AX136))+((Z136)/(AY136)))))</f>
        <v>0</v>
      </c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89"/>
      <c r="AN137" s="89"/>
      <c r="AO137" s="89"/>
      <c r="AP137" s="89"/>
      <c r="AQ137" s="89"/>
      <c r="AR137" s="89"/>
      <c r="AS137" s="89"/>
      <c r="AT137" s="89"/>
      <c r="AU137" s="89"/>
      <c r="AV137" s="89"/>
      <c r="AW137" s="89"/>
      <c r="AX137" s="89"/>
      <c r="AY137" s="89"/>
      <c r="BA137" s="89"/>
      <c r="BB137" s="89"/>
    </row>
    <row r="138" spans="1:54" ht="21" x14ac:dyDescent="0.35">
      <c r="A138" s="89">
        <f>599-B138</f>
        <v>208.39807405236655</v>
      </c>
      <c r="B138" s="89">
        <f>599*B137/100</f>
        <v>390.60192594763345</v>
      </c>
      <c r="C138" s="89">
        <f>599*C137/100</f>
        <v>7.9191070970812936</v>
      </c>
      <c r="D138" s="89">
        <f t="shared" ref="D138:Z138" si="36">599*D137/100</f>
        <v>0</v>
      </c>
      <c r="E138" s="89">
        <f t="shared" si="36"/>
        <v>0</v>
      </c>
      <c r="F138" s="89">
        <f t="shared" si="36"/>
        <v>0</v>
      </c>
      <c r="G138" s="89">
        <f t="shared" si="36"/>
        <v>72.84103724745782</v>
      </c>
      <c r="H138" s="89">
        <f t="shared" si="36"/>
        <v>0</v>
      </c>
      <c r="I138" s="89">
        <f t="shared" si="36"/>
        <v>0</v>
      </c>
      <c r="J138" s="89">
        <f t="shared" si="36"/>
        <v>0</v>
      </c>
      <c r="K138" s="89">
        <f t="shared" si="36"/>
        <v>0</v>
      </c>
      <c r="L138" s="89">
        <f t="shared" si="36"/>
        <v>2.6989443159531565</v>
      </c>
      <c r="M138" s="89">
        <f t="shared" si="36"/>
        <v>0</v>
      </c>
      <c r="N138" s="89">
        <f t="shared" si="36"/>
        <v>122.620985575563</v>
      </c>
      <c r="O138" s="89">
        <f t="shared" si="36"/>
        <v>2.3179998163113771</v>
      </c>
      <c r="P138" s="89">
        <f t="shared" si="36"/>
        <v>0</v>
      </c>
      <c r="Q138" s="89">
        <f t="shared" si="36"/>
        <v>0</v>
      </c>
      <c r="R138" s="89">
        <f t="shared" si="36"/>
        <v>0</v>
      </c>
      <c r="S138" s="89">
        <f t="shared" si="36"/>
        <v>0</v>
      </c>
      <c r="T138" s="89">
        <f t="shared" si="36"/>
        <v>0</v>
      </c>
      <c r="U138" s="89">
        <f t="shared" si="36"/>
        <v>0</v>
      </c>
      <c r="V138" s="89">
        <f t="shared" si="36"/>
        <v>0</v>
      </c>
      <c r="W138" s="89">
        <f t="shared" si="36"/>
        <v>0</v>
      </c>
      <c r="X138" s="89">
        <f t="shared" si="36"/>
        <v>0</v>
      </c>
      <c r="Y138" s="89">
        <f t="shared" si="36"/>
        <v>0</v>
      </c>
      <c r="Z138" s="89">
        <f t="shared" si="36"/>
        <v>0</v>
      </c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89"/>
      <c r="AP138" s="89"/>
      <c r="AQ138" s="89"/>
      <c r="AR138" s="89"/>
      <c r="AS138" s="89"/>
      <c r="AT138" s="89"/>
      <c r="AU138" s="89"/>
      <c r="AV138" s="89"/>
      <c r="AW138" s="89"/>
      <c r="AX138" s="89"/>
      <c r="AY138" s="89"/>
      <c r="BA138" s="89"/>
      <c r="BB138" s="89"/>
    </row>
    <row r="139" spans="1:54" ht="21" x14ac:dyDescent="0.35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>
        <v>1</v>
      </c>
      <c r="R139" s="49">
        <f>Q139*100/599</f>
        <v>0.1669449081803005</v>
      </c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89"/>
      <c r="AN139" s="89"/>
      <c r="AO139" s="89"/>
      <c r="AP139" s="89"/>
      <c r="AQ139" s="89"/>
      <c r="AR139" s="89"/>
      <c r="AS139" s="89"/>
      <c r="AT139" s="89"/>
      <c r="AU139" s="89"/>
      <c r="AV139" s="89"/>
      <c r="AW139" s="89"/>
      <c r="AX139" s="89"/>
      <c r="AY139" s="89"/>
      <c r="BA139" s="89"/>
      <c r="BB139" s="89"/>
    </row>
    <row r="140" spans="1:54" ht="21" x14ac:dyDescent="0.35">
      <c r="A140" s="89">
        <f>B140+C140+D140+E140+F140+G140+H140+I140+J140+K140+L140+M140+N140+O140+P140+Q140+R140+S140+T140+U140+V140+W140+X140+Y140+Z140</f>
        <v>3.7108898163606008</v>
      </c>
      <c r="B140" s="89"/>
      <c r="C140" s="89">
        <v>0.13900000000000001</v>
      </c>
      <c r="D140" s="89">
        <v>3.7999999999999999E-2</v>
      </c>
      <c r="E140" s="89"/>
      <c r="F140" s="89"/>
      <c r="G140" s="89">
        <v>0.1</v>
      </c>
      <c r="H140" s="89">
        <v>0.1</v>
      </c>
      <c r="I140" s="89">
        <f>I138</f>
        <v>0</v>
      </c>
      <c r="J140" s="89"/>
      <c r="K140" s="89">
        <v>0.62</v>
      </c>
      <c r="L140" s="89"/>
      <c r="M140" s="89"/>
      <c r="N140" s="89"/>
      <c r="O140" s="89">
        <v>0.38</v>
      </c>
      <c r="P140" s="89"/>
      <c r="Q140">
        <v>2</v>
      </c>
      <c r="R140" s="49">
        <f t="shared" ref="R140" si="37">Q140*100/599</f>
        <v>0.333889816360601</v>
      </c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  <c r="AN140" s="89"/>
      <c r="AO140" s="89"/>
      <c r="AP140" s="89"/>
      <c r="AQ140" s="89"/>
      <c r="AR140" s="89"/>
      <c r="AS140" s="89"/>
      <c r="AT140" s="89"/>
      <c r="AU140" s="89"/>
      <c r="AV140" s="89"/>
      <c r="AW140" s="89"/>
      <c r="AX140" s="89"/>
      <c r="AY140" s="89"/>
      <c r="BA140" s="89"/>
      <c r="BB140" s="89"/>
    </row>
    <row r="141" spans="1:54" ht="21" x14ac:dyDescent="0.35">
      <c r="A141" s="89" t="s">
        <v>218</v>
      </c>
      <c r="B141" s="89">
        <f>K138+O138+U138+Q138+L138+M138+P138+N138</f>
        <v>127.63792970782754</v>
      </c>
      <c r="C141" s="89" t="s">
        <v>243</v>
      </c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>
        <v>3</v>
      </c>
      <c r="R141" s="49">
        <f>Q141*100/599</f>
        <v>0.5008347245409015</v>
      </c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  <c r="AH141" s="89"/>
      <c r="AI141" s="89"/>
      <c r="AJ141" s="89"/>
      <c r="AK141" s="89"/>
      <c r="AL141" s="89"/>
      <c r="AM141" s="89"/>
      <c r="AN141" s="89"/>
      <c r="AO141" s="89"/>
      <c r="AP141" s="89"/>
      <c r="AQ141" s="89"/>
      <c r="AR141" s="89"/>
      <c r="AS141" s="89"/>
      <c r="AT141" s="89"/>
      <c r="AU141" s="89"/>
      <c r="AV141" s="89"/>
      <c r="AW141" s="89"/>
      <c r="AX141" s="89"/>
      <c r="AY141" s="89"/>
      <c r="BA141" s="89"/>
      <c r="BB141" s="89"/>
    </row>
    <row r="142" spans="1:54" ht="21" x14ac:dyDescent="0.35">
      <c r="A142" s="89" t="s">
        <v>237</v>
      </c>
      <c r="B142" s="89">
        <f>C138+D138+G138+H138+I138+J138+E138+F138</f>
        <v>80.760144344539114</v>
      </c>
      <c r="C142" s="89" t="s">
        <v>246</v>
      </c>
      <c r="D142" s="89"/>
      <c r="E142" s="89"/>
      <c r="F142" s="89"/>
      <c r="G142" s="89"/>
      <c r="H142" s="89"/>
      <c r="I142" s="89"/>
      <c r="J142" s="89"/>
      <c r="K142" s="89">
        <f>3-O140-U140</f>
        <v>2.62</v>
      </c>
      <c r="L142" s="89"/>
      <c r="M142" s="89"/>
      <c r="N142" s="89"/>
      <c r="O142" s="89"/>
      <c r="P142" s="89"/>
      <c r="Q142">
        <v>4</v>
      </c>
      <c r="R142" s="49">
        <f t="shared" ref="R142:R143" si="38">Q142*100/599</f>
        <v>0.667779632721202</v>
      </c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/>
      <c r="AJ142" s="89"/>
      <c r="AK142" s="89"/>
      <c r="AL142" s="89"/>
      <c r="AM142" s="89"/>
      <c r="AN142" s="89"/>
      <c r="AO142" s="89"/>
      <c r="AP142" s="89"/>
      <c r="AQ142" s="89"/>
      <c r="AR142" s="89"/>
      <c r="AS142" s="89"/>
      <c r="AT142" s="89"/>
      <c r="AU142" s="89"/>
      <c r="AV142" s="89"/>
      <c r="AW142" s="89"/>
      <c r="AX142" s="89"/>
      <c r="AY142" s="89"/>
      <c r="BA142" s="89"/>
      <c r="BB142" s="89"/>
    </row>
    <row r="143" spans="1:54" ht="21" x14ac:dyDescent="0.35">
      <c r="A143" s="89"/>
      <c r="B143" s="179">
        <f>B141+B142</f>
        <v>208.39807405236667</v>
      </c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>
        <v>5</v>
      </c>
      <c r="R143" s="49">
        <f t="shared" si="38"/>
        <v>0.8347245409015025</v>
      </c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89"/>
      <c r="AO143" s="89"/>
      <c r="AP143" s="89"/>
      <c r="AQ143" s="89"/>
      <c r="AR143" s="89"/>
      <c r="AS143" s="89"/>
      <c r="AT143" s="89"/>
      <c r="AU143" s="89"/>
      <c r="AV143" s="89"/>
      <c r="AW143" s="89"/>
      <c r="AX143" s="89"/>
      <c r="AY143" s="89"/>
      <c r="BA143" s="89"/>
      <c r="BB143" s="89"/>
    </row>
    <row r="144" spans="1:54" ht="21" x14ac:dyDescent="0.35">
      <c r="BA144" s="89"/>
      <c r="BB144" s="89"/>
    </row>
    <row r="145" spans="1:54" ht="28.5" x14ac:dyDescent="0.45">
      <c r="A145" s="271" t="s">
        <v>273</v>
      </c>
      <c r="B145" s="266" t="s">
        <v>14</v>
      </c>
      <c r="C145" s="266" t="s">
        <v>15</v>
      </c>
      <c r="D145" s="266" t="s">
        <v>8</v>
      </c>
      <c r="E145" s="266" t="s">
        <v>9</v>
      </c>
      <c r="F145" s="266" t="s">
        <v>234</v>
      </c>
      <c r="G145" s="266" t="s">
        <v>56</v>
      </c>
      <c r="H145" s="266" t="s">
        <v>57</v>
      </c>
      <c r="I145" s="266" t="s">
        <v>58</v>
      </c>
      <c r="J145" s="266" t="s">
        <v>77</v>
      </c>
      <c r="K145" s="267" t="s">
        <v>204</v>
      </c>
      <c r="L145" s="266" t="s">
        <v>16</v>
      </c>
      <c r="M145" s="266" t="s">
        <v>13</v>
      </c>
      <c r="N145" s="266" t="s">
        <v>44</v>
      </c>
      <c r="O145" s="266" t="s">
        <v>55</v>
      </c>
      <c r="P145" s="266" t="s">
        <v>17</v>
      </c>
      <c r="Q145" s="266" t="s">
        <v>80</v>
      </c>
      <c r="R145" s="266" t="s">
        <v>81</v>
      </c>
      <c r="S145" s="266" t="s">
        <v>82</v>
      </c>
      <c r="T145" s="266" t="s">
        <v>83</v>
      </c>
      <c r="U145" s="266" t="s">
        <v>45</v>
      </c>
      <c r="V145" s="266" t="s">
        <v>43</v>
      </c>
      <c r="W145" s="266" t="s">
        <v>12</v>
      </c>
      <c r="X145" s="266" t="s">
        <v>0</v>
      </c>
      <c r="Y145" s="266" t="s">
        <v>11</v>
      </c>
      <c r="Z145" s="266" t="s">
        <v>10</v>
      </c>
      <c r="AA145" s="266" t="s">
        <v>14</v>
      </c>
      <c r="AB145" s="266" t="s">
        <v>15</v>
      </c>
      <c r="AC145" s="266" t="s">
        <v>8</v>
      </c>
      <c r="AD145" s="266" t="s">
        <v>9</v>
      </c>
      <c r="AE145" s="266" t="s">
        <v>234</v>
      </c>
      <c r="AF145" s="266" t="s">
        <v>56</v>
      </c>
      <c r="AG145" s="266" t="s">
        <v>57</v>
      </c>
      <c r="AH145" s="266" t="s">
        <v>58</v>
      </c>
      <c r="AI145" s="266" t="s">
        <v>77</v>
      </c>
      <c r="AJ145" s="267" t="s">
        <v>204</v>
      </c>
      <c r="AK145" s="266" t="s">
        <v>16</v>
      </c>
      <c r="AL145" s="266" t="s">
        <v>13</v>
      </c>
      <c r="AM145" s="266" t="s">
        <v>44</v>
      </c>
      <c r="AN145" s="266" t="s">
        <v>55</v>
      </c>
      <c r="AO145" s="266" t="s">
        <v>17</v>
      </c>
      <c r="AP145" s="266" t="s">
        <v>80</v>
      </c>
      <c r="AQ145" s="266" t="s">
        <v>81</v>
      </c>
      <c r="AR145" s="266" t="s">
        <v>82</v>
      </c>
      <c r="AS145" s="266" t="s">
        <v>83</v>
      </c>
      <c r="AT145" s="266" t="s">
        <v>45</v>
      </c>
      <c r="AU145" s="266" t="s">
        <v>43</v>
      </c>
      <c r="AV145" s="266" t="s">
        <v>12</v>
      </c>
      <c r="AW145" s="266" t="s">
        <v>0</v>
      </c>
      <c r="AX145" s="266" t="s">
        <v>11</v>
      </c>
      <c r="AY145" s="266" t="s">
        <v>10</v>
      </c>
      <c r="BA145" s="89"/>
      <c r="BB145" s="89"/>
    </row>
    <row r="146" spans="1:54" ht="21" x14ac:dyDescent="0.35">
      <c r="A146" s="89"/>
      <c r="B146" s="139">
        <f>100-C146-D146-E146-F146-G146-H146-I146-J146-K146-L146-M146-N146-O146-P146-Q146-R146-S146-T146-U146-V146-W146-X146-Y146-Z146</f>
        <v>79.67</v>
      </c>
      <c r="C146" s="177">
        <v>0.75</v>
      </c>
      <c r="D146" s="177">
        <v>1.25</v>
      </c>
      <c r="E146" s="177">
        <v>0.6</v>
      </c>
      <c r="F146" s="177"/>
      <c r="G146" s="177">
        <v>2.65</v>
      </c>
      <c r="H146" s="177">
        <v>0.05</v>
      </c>
      <c r="I146" s="177">
        <v>0.03</v>
      </c>
      <c r="J146" s="177"/>
      <c r="K146" s="177"/>
      <c r="L146" s="177">
        <v>1</v>
      </c>
      <c r="M146" s="177"/>
      <c r="N146" s="177">
        <v>12.5</v>
      </c>
      <c r="O146" s="177">
        <v>1.5</v>
      </c>
      <c r="P146" s="177"/>
      <c r="Q146" s="177"/>
      <c r="R146" s="177"/>
      <c r="S146" s="177"/>
      <c r="T146" s="177"/>
      <c r="U146" s="177"/>
      <c r="V146" s="177"/>
      <c r="W146" s="177"/>
      <c r="X146" s="177"/>
      <c r="Y146" s="177"/>
      <c r="Z146" s="177"/>
      <c r="AA146" s="189">
        <v>55.84</v>
      </c>
      <c r="AB146" s="89">
        <v>28.0855</v>
      </c>
      <c r="AC146" s="89">
        <v>58.693399999999997</v>
      </c>
      <c r="AD146" s="89">
        <v>63.545999999999999</v>
      </c>
      <c r="AE146" s="89">
        <v>65.38</v>
      </c>
      <c r="AF146" s="89">
        <v>12.01</v>
      </c>
      <c r="AG146" s="89">
        <v>30.973762000000001</v>
      </c>
      <c r="AH146" s="89">
        <v>32.064999999999998</v>
      </c>
      <c r="AI146" s="89">
        <v>14.0067</v>
      </c>
      <c r="AJ146" s="89">
        <v>10.81</v>
      </c>
      <c r="AK146" s="89">
        <v>54.938043999999998</v>
      </c>
      <c r="AL146" s="89">
        <v>24.305</v>
      </c>
      <c r="AM146" s="89">
        <v>51.996099999999998</v>
      </c>
      <c r="AN146" s="89">
        <v>95.95</v>
      </c>
      <c r="AO146" s="89">
        <v>47.866999999999997</v>
      </c>
      <c r="AP146" s="89">
        <v>50.941499999999998</v>
      </c>
      <c r="AQ146" s="89">
        <v>92.906369999999995</v>
      </c>
      <c r="AR146" s="89">
        <v>183.84</v>
      </c>
      <c r="AS146" s="89">
        <v>180.94788</v>
      </c>
      <c r="AT146" s="89">
        <v>91.224000000000004</v>
      </c>
      <c r="AU146" s="89">
        <v>58.933194999999998</v>
      </c>
      <c r="AV146" s="89">
        <v>26.981539999999999</v>
      </c>
      <c r="AW146" s="89">
        <v>121.76</v>
      </c>
      <c r="AX146" s="89">
        <v>207.2</v>
      </c>
      <c r="AY146" s="89">
        <v>118.71</v>
      </c>
      <c r="BA146" s="89"/>
      <c r="BB146" s="89"/>
    </row>
    <row r="147" spans="1:54" ht="21" x14ac:dyDescent="0.35">
      <c r="A147" s="89" t="s">
        <v>241</v>
      </c>
      <c r="B147" s="139">
        <f>100*((((B146)/(AA146))/(((B146)/(AA146))+((C146)/(AB146))+((D146)/(AC146))+((E146)/(AD146))+((F146)/(AE146))+((G146)/(AF146))+((H146)/(AG146))+((I146)/(AH146))+((J146)/(AI146))+((K146)/(AJ146))+((L146)/(AK146))+((M146)/(AL146))+((N146)/(AM146))+((O146)/(AN146))+((P146)/(AO146))+((Q146)/(AP146))+((R146)/(AQ146))+((S146)/(AR146))+((T146)/(AS146))+((U146)/(AT146))+((V146)/(AU146))+((W146)/(AV146))+((X146)/(AW146))+((Y146)/(AX146))+((Z146)/(AY146)))))</f>
        <v>71.998854408813258</v>
      </c>
      <c r="C147" s="139">
        <f>100*((((C146)/(AB146))/(((B146)/(AA146))+((C146)/(AB146))+((D146)/(AC146))+((E146)/(AD146))+((F146)/(AE146))+((G146)/(AF146))+((H146)/(AG146))+((I146)/(AH146))+((J146)/(AI146))+((K146)/(AJ146))+((L146)/(AK146))+((M146)/(AL146))+((N146)/(AM146))+((O146)/(AN146))+((P146)/(AO146))+((Q146)/(AP146))+((R146)/(AQ146))+((S146)/(AR146))+((T146)/(AS146))+((U146)/(AT146))+((V146)/(AU146))+((W146)/(AV146))+((X146)/(AW146))+((Y146)/(AX146))+((Z146)/(AY146)))))</f>
        <v>1.3475822509270243</v>
      </c>
      <c r="D147" s="139">
        <f>100*((((D146)/(AC146))/(((B146)/(AA146))+((C146)/(AB146))+((D146)/(AC146))+((E146)/(AD146))+((F146)/(AE146))+((G146)/(AF146))+((H146)/(AG146))+((I146)/(AH146))+((J146)/(AI146))+((K146)/(AJ146))+((L146)/(AK146))+((M146)/(AL146))+((N146)/(AM146))+((O146)/(AN146))+((P146)/(AO146))+((Q146)/(AP146))+((R146)/(AQ146))+((S146)/(AR146))+((T146)/(AS146))+((U146)/(AT146))+((V146)/(AU146))+((W146)/(AV146))+((X146)/(AW146))+((Y146)/(AX146))+((Z146)/(AY146)))))</f>
        <v>1.0747239413747529</v>
      </c>
      <c r="E147" s="139">
        <f>100*((((E146)/(AD146))/(((B146)/(AA146))+((C146)/(AB146))+((D146)/(AC146))+((E146)/(AD146))+((F146)/(AE146))+((G146)/(AF146))+((H146)/(AG146))+((I146)/(AH146))+((J146)/(AI146))+((K146)/(AJ146))+((L146)/(AK146))+((M146)/(AL146))+((N146)/(AM146))+((O146)/(AN146))+((P146)/(AO146))+((Q146)/(AP146))+((R146)/(AQ146))+((S146)/(AR146))+((T146)/(AS146))+((U146)/(AT146))+((V146)/(AU146))+((W146)/(AV146))+((X146)/(AW146))+((Y146)/(AX146))+((Z146)/(AY146)))))</f>
        <v>0.47647400381973304</v>
      </c>
      <c r="F147" s="139">
        <f>100*((((F146)/(AE146))/(((B146)/(AA146))+((C146)/(AB146))+((D146)/(AC146))+((E146)/(AD146))+((F146)/(AE146))+((G146)/(AF146))+((H146)/(AG146))+((I146)/(AH146))+((J146)/(AI146))+((K146)/(AJ146))+((L146)/(AK146))+((M146)/(AL146))+((N146)/(AM146))+((O146)/(AN146))+((P146)/(AO146))+((Q146)/(AP146))+((R146)/(AQ146))+((S146)/(AR146))+((T146)/(AS146))+((U146)/(AT146))+((V146)/(AU146))+((W146)/(AV146))+((X146)/(AW146))+((Y146)/(AX146))+((Z146)/(AY146)))))</f>
        <v>0</v>
      </c>
      <c r="G147" s="139">
        <f>100*((((G146)/(AF146))/(((B146)/(AA146))+((C146)/(AB146))+((D146)/(AC146))+((E146)/(AD146))+((F146)/(AE146))+((G146)/(AF146))+((H146)/(AG146))+((I146)/(AH146))+((J146)/(AI146))+((K146)/(AJ146))+((L146)/(AK146))+((M146)/(AL146))+((N146)/(AM146))+((O146)/(AN146))+((P146)/(AO146))+((Q146)/(AP146))+((R146)/(AQ146))+((S146)/(AR146))+((T146)/(AS146))+((U146)/(AT146))+((V146)/(AU146))+((W146)/(AV146))+((X146)/(AW146))+((Y146)/(AX146))+((Z146)/(AY146)))))</f>
        <v>11.13471345737319</v>
      </c>
      <c r="H147" s="139">
        <f>100*((((H146)/(AG146))/(((B146)/(AA146))+((C146)/(AB146))+((D146)/(AC146))+((E146)/(AD146))+((F146)/(AE146))+((G146)/(AF146))+((H146)/(AG146))+((I146)/(AH146))+((J146)/(AI146))+((K146)/(AJ146))+((L146)/(AK146))+((M146)/(AL146))+((N146)/(AM146))+((O146)/(AN146))+((P146)/(AO146))+((Q146)/(AP146))+((R146)/(AQ146))+((S146)/(AR146))+((T146)/(AS146))+((U146)/(AT146))+((V146)/(AU146))+((W146)/(AV146))+((X146)/(AW146))+((Y146)/(AX146))+((Z146)/(AY146)))))</f>
        <v>8.1461466877268449E-2</v>
      </c>
      <c r="I147" s="139">
        <f>100*((((I146)/(AH146))/(((B146)/(AA146))+((C146)/(AB146))+((D146)/(AC146))+((E146)/(AD146))+((F146)/(AE146))+((G146)/(AF146))+((H146)/(AG146))+((I146)/(AH146))+((J146)/(AI146))+((K146)/(AJ146))+((L146)/(AK146))+((M146)/(AL146))+((N146)/(AM146))+((O146)/(AN146))+((P146)/(AO146))+((Q146)/(AP146))+((R146)/(AQ146))+((S146)/(AR146))+((T146)/(AS146))+((U146)/(AT146))+((V146)/(AU146))+((W146)/(AV146))+((X146)/(AW146))+((Y146)/(AX146))+((Z146)/(AY146)))))</f>
        <v>4.721349921523274E-2</v>
      </c>
      <c r="J147" s="139">
        <f>100*((((J146)/(AI146))/(((B146)/(AA146))+((C146)/(AB146))+((D146)/(AC146))+((E146)/(AD146))+((F146)/(AE146))+((G146)/(AF146))+((H146)/(AG146))+((I146)/(AH146))+((J146)/(AI146))+((K146)/(AJ146))+((L146)/(AK146))+((M146)/(AL146))+((N146)/(AM146))+((O146)/(AN146))+((P146)/(AO146))+((Q146)/(AP146))+((R146)/(AQ146))+((S146)/(AR146))+((T146)/(AS146))+((U146)/(AT146))+((V146)/(AU146))+((W146)/(AV146))+((X146)/(AW146))+((Y146)/(AX146))+((Z146)/(AY146)))))</f>
        <v>0</v>
      </c>
      <c r="K147" s="139">
        <f>100*((((K146)/(AJ146))/(((B146)/(AA146))+((C146)/(AB146))+((D146)/(AC146))+((E146)/(AD146))+((F146)/(AE146))+((G146)/(AF146))+((H146)/(AG146))+((I146)/(AH146))+((J146)/(AI146))+((K146)/(AJ146))+((L146)/(AK146))+((M146)/(AL146))+((N146)/(AM146))+((O146)/(AN146))+((P146)/(AO146))+((Q146)/(AP146))+((R146)/(AQ146))+((S146)/(AR146))+((T146)/(AS146))+((U146)/(AT146))+((V146)/(AU146))+((W146)/(AV146))+((X146)/(AW146))+((Y146)/(AX146))+((Z146)/(AY146)))))</f>
        <v>0</v>
      </c>
      <c r="L147" s="139">
        <f>100*((((L146)/(AK146))/(((B146)/(AA146))+((C146)/(AB146))+((D146)/(AC146))+((E146)/(AD146))+((F146)/(AE146))+((G146)/(AF146))+((H146)/(AG146))+((I146)/(AH146))+((J146)/(AI146))+((K146)/(AJ146))+((L146)/(AK146))+((M146)/(AL146))+((N146)/(AM146))+((O146)/(AN146))+((P146)/(AO146))+((Q146)/(AP146))+((R146)/(AQ146))+((S146)/(AR146))+((T146)/(AS146))+((U146)/(AT146))+((V146)/(AU146))+((W146)/(AV146))+((X146)/(AW146))+((Y146)/(AX146))+((Z146)/(AY146)))))</f>
        <v>0.91855039004570171</v>
      </c>
      <c r="M147" s="139">
        <f>100*((((M146)/(AL146))/(((B146)/(AA146))+((C146)/(AB146))+((D146)/(AC146))+((E146)/(AD146))+((F146)/(AE146))+((G146)/(AF146))+((H146)/(AG146))+((I146)/(AH146))+((J146)/(AI146))+((K146)/(AJ146))+((L146)/(AK146))+((M146)/(AL146))+((N146)/(AM146))+((O146)/(AN146))+((P146)/(AO146))+((Q146)/(AP146))+((R146)/(AQ146))+((S146)/(AR146))+((T146)/(AS146))+((U146)/(AT146))+((V146)/(AU146))+((W146)/(AV146))+((X146)/(AW146))+((Y146)/(AX146))+((Z146)/(AY146)))))</f>
        <v>0</v>
      </c>
      <c r="N147" s="139">
        <f>100*((((N146)/(AM146))/(((B146)/(AA146))+((C146)/(AB146))+((D146)/(AC146))+((E146)/(AD146))+((F146)/(AE146))+((G146)/(AF146))+((H146)/(AG146))+((I146)/(AH146))+((J146)/(AI146))+((K146)/(AJ146))+((L146)/(AK146))+((M146)/(AL146))+((N146)/(AM146))+((O146)/(AN146))+((P146)/(AO146))+((Q146)/(AP146))+((R146)/(AQ146))+((S146)/(AR146))+((T146)/(AS146))+((U146)/(AT146))+((V146)/(AU146))+((W146)/(AV146))+((X146)/(AW146))+((Y146)/(AX146))+((Z146)/(AY146)))))</f>
        <v>12.131525668402997</v>
      </c>
      <c r="O147" s="139">
        <f>100*((((O146)/(AN146))/(((B146)/(AA146))+((C146)/(AB146))+((D146)/(AC146))+((E146)/(AD146))+((F146)/(AE146))+((G146)/(AF146))+((H146)/(AG146))+((I146)/(AH146))+((J146)/(AI146))+((K146)/(AJ146))+((L146)/(AK146))+((M146)/(AL146))+((N146)/(AM146))+((O146)/(AN146))+((P146)/(AO146))+((Q146)/(AP146))+((R146)/(AQ146))+((S146)/(AR146))+((T146)/(AS146))+((U146)/(AT146))+((V146)/(AU146))+((W146)/(AV146))+((X146)/(AW146))+((Y146)/(AX146))+((Z146)/(AY146)))))</f>
        <v>0.78890091315082733</v>
      </c>
      <c r="P147" s="139">
        <f>100*((((P146)/(AO146))/(((B146)/(AA146))+((C146)/(AB146))+((D146)/(AC146))+((E146)/(AD146))+((F146)/(AE146))+((G146)/(AF146))+((H146)/(AG146))+((I146)/(AH146))+((J146)/(AI146))+((K146)/(AJ146))+((L146)/(AK146))+((M146)/(AL146))+((N146)/(AM146))+((O146)/(AN146))+((P146)/(AO146))+((Q146)/(AP146))+((R146)/(AQ146))+((S146)/(AR146))+((T146)/(AS146))+((U146)/(AT146))+((V146)/(AU146))+((W146)/(AV146))+((X146)/(AW146))+((Y146)/(AX146))+((Z146)/(AY146)))))</f>
        <v>0</v>
      </c>
      <c r="Q147" s="139">
        <f>100*((((Q146)/(AP146))/(((B146)/(AA146))+((C146)/(AB146))+((D146)/(AC146))+((E146)/(AD146))+((F146)/(AE146))+((G146)/(AF146))+((H146)/(AG146))+((I146)/(AH146))+((J146)/(AI146))+((K146)/(AJ146))+((L146)/(AK146))+((M146)/(AL146))+((N146)/(AM146))+((O146)/(AN146))+((P146)/(AO146))+((Q146)/(AP146))+((R146)/(AQ146))+((S146)/(AR146))+((T146)/(AS146))+((U146)/(AT146))+((V146)/(AU146))+((W146)/(AV146))+((X146)/(AW146))+((Y146)/(AX146))+((Z146)/(AY146)))))</f>
        <v>0</v>
      </c>
      <c r="R147" s="139">
        <f>100*((((R146)/(AQ146))/(((B146)/(AA146))+((C146)/(AB146))+((D146)/(AC146))+((E146)/(AD146))+((F146)/(AE146))+((G146)/(AF146))+((H146)/(AG146))+((I146)/(AH146))+((J146)/(AI146))+((K146)/(AJ146))+((L146)/(AK146))+((M146)/(AL146))+((N146)/(AM146))+((O146)/(AN146))+((P146)/(AO146))+((Q146)/(AP146))+((R146)/(AQ146))+((S146)/(AR146))+((T146)/(AS146))+((U146)/(AT146))+((V146)/(AU146))+((W146)/(AV146))+((X146)/(AW146))+((Y146)/(AX146))+((Z146)/(AY146)))))</f>
        <v>0</v>
      </c>
      <c r="S147" s="139">
        <f>100*((((S146)/(AR146))/(((B146)/(AA146))+((C146)/(AB146))+((D146)/(AC146))+((E146)/(AD146))+((F146)/(AE146))+((G146)/(AF146))+((H146)/(AG146))+((I146)/(AH146))+((J146)/(AI146))+((K146)/(AJ146))+((L146)/(AK146))+((M146)/(AL146))+((N146)/(AM146))+((O146)/(AN146))+((P146)/(AO146))+((Q146)/(AP146))+((R146)/(AQ146))+((S146)/(AR146))+((T146)/(AS146))+((U146)/(AT146))+((V146)/(AU146))+((W146)/(AV146))+((X146)/(AW146))+((Y146)/(AX146))+((Z146)/(AY146)))))</f>
        <v>0</v>
      </c>
      <c r="T147" s="139">
        <f>100*((((T146)/(AS146))/(((B146)/(AA146))+((C146)/(AB146))+((D146)/(AC146))+((E146)/(AD146))+((F146)/(AE146))+((G146)/(AF146))+((H146)/(AG146))+((I146)/(AH146))+((J146)/(AI146))+((K146)/(AJ146))+((L146)/(AK146))+((M146)/(AL146))+((N146)/(AM146))+((O146)/(AN146))+((P146)/(AO146))+((Q146)/(AP146))+((R146)/(AQ146))+((S146)/(AR146))+((T146)/(AS146))+((U146)/(AT146))+((V146)/(AU146))+((W146)/(AV146))+((X146)/(AW146))+((Y146)/(AX146))+((Z146)/(AY146)))))</f>
        <v>0</v>
      </c>
      <c r="U147" s="139">
        <f>100*((((U146)/(AT146))/(((B146)/(AA146))+((C146)/(AB146))+((D146)/(AC146))+((E146)/(AD146))+((F146)/(AE146))+((G146)/(AF146))+((H146)/(AG146))+((I146)/(AH146))+((J146)/(AI146))+((K146)/(AJ146))+((L146)/(AK146))+((M146)/(AL146))+((N146)/(AM146))+((O146)/(AN146))+((P146)/(AO146))+((Q146)/(AP146))+((R146)/(AQ146))+((S146)/(AR146))+((T146)/(AS146))+((U146)/(AT146))+((V146)/(AU146))+((W146)/(AV146))+((X146)/(AW146))+((Y146)/(AX146))+((Z146)/(AY146)))))</f>
        <v>0</v>
      </c>
      <c r="V147" s="139">
        <f>100*((((V146)/(AU146))/(((B146)/(AA146))+((C146)/(AB146))+((D146)/(AC146))+((E146)/(AD146))+((F146)/(AE146))+((G146)/(AF146))+((H146)/(AG146))+((I146)/(AH146))+((J146)/(AI146))+((K146)/(AJ146))+((L146)/(AK146))+((M146)/(AL146))+((N146)/(AM146))+((O146)/(AN146))+((P146)/(AO146))+((Q146)/(AP146))+((R146)/(AQ146))+((S146)/(AR146))+((T146)/(AS146))+((U146)/(AT146))+((V146)/(AU146))+((W146)/(AV146))+((X146)/(AW146))+((Y146)/(AX146))+((Z146)/(AY146)))))</f>
        <v>0</v>
      </c>
      <c r="W147" s="139">
        <f>100*((((W146)/(AV146))/(((B146)/(AA146))+((C146)/(AB146))+((D146)/(AC146))+((E146)/(AD146))+((F146)/(AE146))+((G146)/(AF146))+((H146)/(AG146))+((I146)/(AH146))+((J146)/(AI146))+((K146)/(AJ146))+((L146)/(AK146))+((M146)/(AL146))+((N146)/(AM146))+((O146)/(AN146))+((P146)/(AO146))+((Q146)/(AP146))+((R146)/(AQ146))+((S146)/(AR146))+((T146)/(AS146))+((U146)/(AT146))+((V146)/(AU146))+((W146)/(AV146))+((X146)/(AW146))+((Y146)/(AX146))+((Z146)/(AY146)))))</f>
        <v>0</v>
      </c>
      <c r="X147" s="89">
        <f>100*((((X146)/(AW146))/(((B146)/(AA146))+((C146)/(AB146))+((D146)/(AC146))+((E146)/(AD146))+((F146)/(AE146))+((G146)/(AF146))+((H146)/(AG146))+((I146)/(AH146))+((J146)/(AI146))+((K146)/(AJ146))+((L146)/(AK146))+((M146)/(AL146))+((N146)/(AM146))+((O146)/(AN146))+((P146)/(AO146))+((Q146)/(AP146))+((R146)/(AQ146))+((S146)/(AR146))+((T146)/(AS146))+((U146)/(AT146))+((V146)/(AU146))+((W146)/(AV146))+((X146)/(AW146))+((Y146)/(AX146))+((Z146)/(AY146)))))</f>
        <v>0</v>
      </c>
      <c r="Y147" s="89">
        <f>100*((((Y146)/(AX146))/(((B146)/(AA146))+((C146)/(AB146))+((D146)/(AC146))+((E146)/(AD146))+((F146)/(AE146))+((G146)/(AF146))+((H146)/(AG146))+((I146)/(AH146))+((J146)/(AI146))+((K146)/(AJ146))+((L146)/(AK146))+((M146)/(AL146))+((N146)/(AM146))+((O146)/(AN146))+((P146)/(AO146))+((Q146)/(AP146))+((R146)/(AQ146))+((S146)/(AR146))+((T146)/(AS146))+((U146)/(AT146))+((V146)/(AU146))+((W146)/(AV146))+((X146)/(AW146))+((Y146)/(AX146))+((Z146)/(AY146)))))</f>
        <v>0</v>
      </c>
      <c r="Z147" s="89">
        <f>100*((((Z146)/(AY146))/(((B146)/(AA146))+((C146)/(AB146))+((D146)/(AC146))+((E146)/(AD146))+((F146)/(AE146))+((G146)/(AF146))+((H146)/(AG146))+((I146)/(AH146))+((J146)/(AI146))+((K146)/(AJ146))+((L146)/(AK146))+((M146)/(AL146))+((N146)/(AM146))+((O146)/(AN146))+((P146)/(AO146))+((Q146)/(AP146))+((R146)/(AQ146))+((S146)/(AR146))+((T146)/(AS146))+((U146)/(AT146))+((V146)/(AU146))+((W146)/(AV146))+((X146)/(AW146))+((Y146)/(AX146))+((Z146)/(AY146)))))</f>
        <v>0</v>
      </c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  <c r="AK147" s="89"/>
      <c r="AL147" s="89"/>
      <c r="AM147" s="89"/>
      <c r="AN147" s="89"/>
      <c r="AO147" s="89"/>
      <c r="AP147" s="89"/>
      <c r="AQ147" s="89"/>
      <c r="AR147" s="89"/>
      <c r="AS147" s="89"/>
      <c r="AT147" s="89"/>
      <c r="AU147" s="89"/>
      <c r="AV147" s="89"/>
      <c r="AW147" s="89"/>
      <c r="AX147" s="89"/>
      <c r="AY147" s="89"/>
      <c r="BA147" s="89"/>
      <c r="BB147" s="89"/>
    </row>
    <row r="148" spans="1:54" ht="21" x14ac:dyDescent="0.35">
      <c r="A148" s="89">
        <f>599-B148</f>
        <v>167.7268620912086</v>
      </c>
      <c r="B148" s="89">
        <f>599*B147/100</f>
        <v>431.2731379087914</v>
      </c>
      <c r="C148" s="89">
        <f>599*C147/100</f>
        <v>8.0720176830528754</v>
      </c>
      <c r="D148" s="89">
        <f t="shared" ref="D148:Z148" si="39">599*D147/100</f>
        <v>6.4375964088347697</v>
      </c>
      <c r="E148" s="89">
        <f t="shared" si="39"/>
        <v>2.8540792828802011</v>
      </c>
      <c r="F148" s="89">
        <f t="shared" si="39"/>
        <v>0</v>
      </c>
      <c r="G148" s="89">
        <f t="shared" si="39"/>
        <v>66.696933609665408</v>
      </c>
      <c r="H148" s="89">
        <f t="shared" si="39"/>
        <v>0.48795418659483802</v>
      </c>
      <c r="I148" s="89">
        <f t="shared" si="39"/>
        <v>0.28280886029924412</v>
      </c>
      <c r="J148" s="89">
        <f t="shared" si="39"/>
        <v>0</v>
      </c>
      <c r="K148" s="89">
        <f t="shared" si="39"/>
        <v>0</v>
      </c>
      <c r="L148" s="89">
        <f t="shared" si="39"/>
        <v>5.5021168363737534</v>
      </c>
      <c r="M148" s="89">
        <f t="shared" si="39"/>
        <v>0</v>
      </c>
      <c r="N148" s="89">
        <f t="shared" si="39"/>
        <v>72.667838753733946</v>
      </c>
      <c r="O148" s="89">
        <f t="shared" si="39"/>
        <v>4.7255164697734555</v>
      </c>
      <c r="P148" s="89">
        <f t="shared" si="39"/>
        <v>0</v>
      </c>
      <c r="Q148" s="89">
        <f t="shared" si="39"/>
        <v>0</v>
      </c>
      <c r="R148" s="89">
        <f t="shared" si="39"/>
        <v>0</v>
      </c>
      <c r="S148" s="89">
        <f t="shared" si="39"/>
        <v>0</v>
      </c>
      <c r="T148" s="89">
        <f t="shared" si="39"/>
        <v>0</v>
      </c>
      <c r="U148" s="89">
        <f t="shared" si="39"/>
        <v>0</v>
      </c>
      <c r="V148" s="89">
        <f t="shared" si="39"/>
        <v>0</v>
      </c>
      <c r="W148" s="89">
        <f t="shared" si="39"/>
        <v>0</v>
      </c>
      <c r="X148" s="89">
        <f t="shared" si="39"/>
        <v>0</v>
      </c>
      <c r="Y148" s="89">
        <f t="shared" si="39"/>
        <v>0</v>
      </c>
      <c r="Z148" s="89">
        <f t="shared" si="39"/>
        <v>0</v>
      </c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89"/>
      <c r="AN148" s="89"/>
      <c r="AO148" s="89"/>
      <c r="AP148" s="89"/>
      <c r="AQ148" s="89"/>
      <c r="AR148" s="89"/>
      <c r="AS148" s="89"/>
      <c r="AT148" s="89"/>
      <c r="AU148" s="89"/>
      <c r="AV148" s="89"/>
      <c r="AW148" s="89"/>
      <c r="AX148" s="89"/>
      <c r="AY148" s="89"/>
      <c r="BA148" s="89"/>
      <c r="BB148" s="89"/>
    </row>
    <row r="149" spans="1:54" ht="21" x14ac:dyDescent="0.35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>
        <v>1</v>
      </c>
      <c r="R149" s="49">
        <f>Q149*100/599</f>
        <v>0.1669449081803005</v>
      </c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89"/>
      <c r="AO149" s="89"/>
      <c r="AP149" s="89"/>
      <c r="AQ149" s="89"/>
      <c r="AR149" s="89"/>
      <c r="AS149" s="89"/>
      <c r="AT149" s="89"/>
      <c r="AU149" s="89"/>
      <c r="AV149" s="89"/>
      <c r="AW149" s="89"/>
      <c r="AX149" s="89"/>
      <c r="AY149" s="89"/>
      <c r="BA149" s="89"/>
      <c r="BB149" s="89"/>
    </row>
    <row r="150" spans="1:54" ht="21" x14ac:dyDescent="0.35">
      <c r="A150" s="89">
        <f>B150+C150+D150+E150+F150+G150+H150+I150+J150+K150+L150+M150+N150+O150+P150+Q150+R150+S150+T150+U150+V150+W150+X150+Y150+Z150</f>
        <v>3.9936986766598452</v>
      </c>
      <c r="B150" s="89"/>
      <c r="C150" s="89">
        <v>0.13900000000000001</v>
      </c>
      <c r="D150" s="89">
        <v>3.7999999999999999E-2</v>
      </c>
      <c r="E150" s="89"/>
      <c r="F150" s="89"/>
      <c r="G150" s="89">
        <v>0.1</v>
      </c>
      <c r="H150" s="89">
        <v>0.1</v>
      </c>
      <c r="I150" s="89">
        <f>I148</f>
        <v>0.28280886029924412</v>
      </c>
      <c r="J150" s="89"/>
      <c r="K150" s="89">
        <v>0.62</v>
      </c>
      <c r="L150" s="89"/>
      <c r="M150" s="89"/>
      <c r="N150" s="89"/>
      <c r="O150" s="89">
        <v>0.38</v>
      </c>
      <c r="P150" s="89"/>
      <c r="Q150">
        <v>2</v>
      </c>
      <c r="R150" s="49">
        <f t="shared" ref="R150" si="40">Q150*100/599</f>
        <v>0.333889816360601</v>
      </c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  <c r="AJ150" s="89"/>
      <c r="AK150" s="89"/>
      <c r="AL150" s="89"/>
      <c r="AM150" s="89"/>
      <c r="AN150" s="89"/>
      <c r="AO150" s="89"/>
      <c r="AP150" s="89"/>
      <c r="AQ150" s="89"/>
      <c r="AR150" s="89"/>
      <c r="AS150" s="89"/>
      <c r="AT150" s="89"/>
      <c r="AU150" s="89"/>
      <c r="AV150" s="89"/>
      <c r="AW150" s="89"/>
      <c r="AX150" s="89"/>
      <c r="AY150" s="89"/>
      <c r="BA150" s="89"/>
      <c r="BB150" s="89"/>
    </row>
    <row r="151" spans="1:54" ht="21" x14ac:dyDescent="0.35">
      <c r="A151" s="89" t="s">
        <v>218</v>
      </c>
      <c r="B151" s="89">
        <f>K148+O148+U148+Q148+L148+M148+P148+N148</f>
        <v>82.895472059881158</v>
      </c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>
        <v>3</v>
      </c>
      <c r="R151" s="49">
        <f>Q151*100/599</f>
        <v>0.5008347245409015</v>
      </c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  <c r="AJ151" s="89"/>
      <c r="AK151" s="89"/>
      <c r="AL151" s="89"/>
      <c r="AM151" s="89"/>
      <c r="AN151" s="89"/>
      <c r="AO151" s="89"/>
      <c r="AP151" s="89"/>
      <c r="AQ151" s="89"/>
      <c r="AR151" s="89"/>
      <c r="AS151" s="89"/>
      <c r="AT151" s="89"/>
      <c r="AU151" s="89"/>
      <c r="AV151" s="89"/>
      <c r="AW151" s="89"/>
      <c r="AX151" s="89"/>
      <c r="AY151" s="89"/>
      <c r="BA151" s="89"/>
      <c r="BB151" s="89"/>
    </row>
    <row r="152" spans="1:54" ht="21" x14ac:dyDescent="0.35">
      <c r="A152" s="89" t="s">
        <v>237</v>
      </c>
      <c r="B152" s="89">
        <f>C148+D148+G148+H148+I148+J148+E148+F148</f>
        <v>84.831390031327331</v>
      </c>
      <c r="C152" s="89" t="s">
        <v>245</v>
      </c>
      <c r="D152" s="89"/>
      <c r="E152" s="89"/>
      <c r="F152" s="89"/>
      <c r="G152" s="89"/>
      <c r="H152" s="89"/>
      <c r="I152" s="89"/>
      <c r="J152" s="89"/>
      <c r="K152" s="89">
        <f>3-O150-U150</f>
        <v>2.62</v>
      </c>
      <c r="L152" s="89"/>
      <c r="M152" s="89"/>
      <c r="N152" s="89"/>
      <c r="O152" s="89"/>
      <c r="P152" s="89"/>
      <c r="Q152">
        <v>4</v>
      </c>
      <c r="R152" s="49">
        <f t="shared" ref="R152:R153" si="41">Q152*100/599</f>
        <v>0.667779632721202</v>
      </c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/>
      <c r="AJ152" s="89"/>
      <c r="AK152" s="89"/>
      <c r="AL152" s="89"/>
      <c r="AM152" s="89"/>
      <c r="AN152" s="89"/>
      <c r="AO152" s="89"/>
      <c r="AP152" s="89"/>
      <c r="AQ152" s="89"/>
      <c r="AR152" s="89"/>
      <c r="AS152" s="89"/>
      <c r="AT152" s="89"/>
      <c r="AU152" s="89"/>
      <c r="AV152" s="89"/>
      <c r="AW152" s="89"/>
      <c r="AX152" s="89"/>
      <c r="AY152" s="89"/>
      <c r="BA152" s="89"/>
      <c r="BB152" s="89"/>
    </row>
    <row r="153" spans="1:54" ht="21" x14ac:dyDescent="0.35">
      <c r="A153" s="89"/>
      <c r="B153" s="179">
        <f>B151+B152</f>
        <v>167.72686209120849</v>
      </c>
      <c r="C153" s="89" t="s">
        <v>244</v>
      </c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>
        <v>5</v>
      </c>
      <c r="R153" s="49">
        <f t="shared" si="41"/>
        <v>0.8347245409015025</v>
      </c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  <c r="AH153" s="89"/>
      <c r="AI153" s="89"/>
      <c r="AJ153" s="89"/>
      <c r="AK153" s="89"/>
      <c r="AL153" s="89"/>
      <c r="AM153" s="89"/>
      <c r="AN153" s="89"/>
      <c r="AO153" s="89"/>
      <c r="AP153" s="89"/>
      <c r="AQ153" s="89"/>
      <c r="AR153" s="89"/>
      <c r="AS153" s="89"/>
      <c r="AT153" s="89"/>
      <c r="AU153" s="89"/>
      <c r="AV153" s="89"/>
      <c r="AW153" s="89"/>
      <c r="AX153" s="89"/>
      <c r="AY153" s="89"/>
      <c r="AZ153" s="89"/>
      <c r="BA153" s="89"/>
      <c r="BB153" s="89"/>
    </row>
    <row r="154" spans="1:54" ht="21" x14ac:dyDescent="0.35">
      <c r="A154" s="271" t="s">
        <v>264</v>
      </c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  <c r="AH154" s="89"/>
      <c r="AI154" s="89"/>
      <c r="AJ154" s="89"/>
      <c r="AK154" s="89"/>
      <c r="AL154" s="89"/>
      <c r="AM154" s="89"/>
      <c r="AN154" s="89"/>
      <c r="AO154" s="89"/>
      <c r="AP154" s="89"/>
      <c r="AQ154" s="89"/>
      <c r="AR154" s="89"/>
      <c r="AS154" s="89"/>
      <c r="AT154" s="89"/>
      <c r="AU154" s="89"/>
      <c r="AV154" s="89"/>
      <c r="AW154" s="89"/>
      <c r="AX154" s="89"/>
      <c r="AY154" s="89"/>
      <c r="AZ154" s="89"/>
      <c r="BA154" s="89"/>
      <c r="BB154" s="89"/>
    </row>
    <row r="155" spans="1:54" ht="28.5" x14ac:dyDescent="0.45">
      <c r="A155" s="295" t="s">
        <v>276</v>
      </c>
      <c r="B155" s="266" t="s">
        <v>14</v>
      </c>
      <c r="C155" s="266" t="s">
        <v>15</v>
      </c>
      <c r="D155" s="266" t="s">
        <v>8</v>
      </c>
      <c r="E155" s="266" t="s">
        <v>9</v>
      </c>
      <c r="F155" s="266" t="s">
        <v>234</v>
      </c>
      <c r="G155" s="266" t="s">
        <v>56</v>
      </c>
      <c r="H155" s="266" t="s">
        <v>57</v>
      </c>
      <c r="I155" s="266" t="s">
        <v>58</v>
      </c>
      <c r="J155" s="266" t="s">
        <v>77</v>
      </c>
      <c r="K155" s="267" t="s">
        <v>204</v>
      </c>
      <c r="L155" s="266" t="s">
        <v>16</v>
      </c>
      <c r="M155" s="266" t="s">
        <v>13</v>
      </c>
      <c r="N155" s="266" t="s">
        <v>44</v>
      </c>
      <c r="O155" s="266" t="s">
        <v>55</v>
      </c>
      <c r="P155" s="266" t="s">
        <v>17</v>
      </c>
      <c r="Q155" s="266" t="s">
        <v>80</v>
      </c>
      <c r="R155" s="266" t="s">
        <v>81</v>
      </c>
      <c r="S155" s="266" t="s">
        <v>82</v>
      </c>
      <c r="T155" s="266" t="s">
        <v>83</v>
      </c>
      <c r="U155" s="266" t="s">
        <v>45</v>
      </c>
      <c r="V155" s="266" t="s">
        <v>43</v>
      </c>
      <c r="W155" s="266" t="s">
        <v>12</v>
      </c>
      <c r="X155" s="266" t="s">
        <v>0</v>
      </c>
      <c r="Y155" s="266" t="s">
        <v>11</v>
      </c>
      <c r="Z155" s="266" t="s">
        <v>10</v>
      </c>
      <c r="AA155" s="266" t="s">
        <v>14</v>
      </c>
      <c r="AB155" s="266" t="s">
        <v>15</v>
      </c>
      <c r="AC155" s="266" t="s">
        <v>8</v>
      </c>
      <c r="AD155" s="266" t="s">
        <v>9</v>
      </c>
      <c r="AE155" s="266" t="s">
        <v>234</v>
      </c>
      <c r="AF155" s="266" t="s">
        <v>56</v>
      </c>
      <c r="AG155" s="266" t="s">
        <v>57</v>
      </c>
      <c r="AH155" s="266" t="s">
        <v>58</v>
      </c>
      <c r="AI155" s="266" t="s">
        <v>77</v>
      </c>
      <c r="AJ155" s="267" t="s">
        <v>204</v>
      </c>
      <c r="AK155" s="266" t="s">
        <v>16</v>
      </c>
      <c r="AL155" s="266" t="s">
        <v>13</v>
      </c>
      <c r="AM155" s="266" t="s">
        <v>44</v>
      </c>
      <c r="AN155" s="266" t="s">
        <v>55</v>
      </c>
      <c r="AO155" s="266" t="s">
        <v>17</v>
      </c>
      <c r="AP155" s="266" t="s">
        <v>80</v>
      </c>
      <c r="AQ155" s="266" t="s">
        <v>81</v>
      </c>
      <c r="AR155" s="266" t="s">
        <v>82</v>
      </c>
      <c r="AS155" s="266" t="s">
        <v>83</v>
      </c>
      <c r="AT155" s="266" t="s">
        <v>45</v>
      </c>
      <c r="AU155" s="266" t="s">
        <v>43</v>
      </c>
      <c r="AV155" s="266" t="s">
        <v>12</v>
      </c>
      <c r="AW155" s="266" t="s">
        <v>0</v>
      </c>
      <c r="AX155" s="266" t="s">
        <v>11</v>
      </c>
      <c r="AY155" s="266" t="s">
        <v>10</v>
      </c>
      <c r="BA155" s="89"/>
      <c r="BB155" s="89"/>
    </row>
    <row r="156" spans="1:54" ht="21" x14ac:dyDescent="0.35">
      <c r="A156" s="89"/>
      <c r="B156" s="139">
        <f>100-C156-D156-E156-F156-G156-H156-I156-J156-K156-L156-M156-N156-O156-P156-Q156-R156-S156-T156-U156-V156-W156-X156-Y156-Z156</f>
        <v>69.3</v>
      </c>
      <c r="C156" s="177">
        <v>0.75</v>
      </c>
      <c r="D156" s="177"/>
      <c r="E156" s="177"/>
      <c r="F156" s="177"/>
      <c r="G156" s="177">
        <v>2.9</v>
      </c>
      <c r="H156" s="177"/>
      <c r="I156" s="177"/>
      <c r="J156" s="177"/>
      <c r="K156" s="177"/>
      <c r="L156" s="177">
        <v>0.5</v>
      </c>
      <c r="M156" s="177"/>
      <c r="N156" s="177">
        <v>25.5</v>
      </c>
      <c r="O156" s="177">
        <v>1.05</v>
      </c>
      <c r="P156" s="177"/>
      <c r="Q156" s="177"/>
      <c r="R156" s="177"/>
      <c r="S156" s="177"/>
      <c r="T156" s="177"/>
      <c r="U156" s="177"/>
      <c r="V156" s="177"/>
      <c r="W156" s="177"/>
      <c r="X156" s="177"/>
      <c r="Y156" s="177"/>
      <c r="Z156" s="177"/>
      <c r="AA156" s="189">
        <v>55.84</v>
      </c>
      <c r="AB156" s="89">
        <v>28.0855</v>
      </c>
      <c r="AC156" s="89">
        <v>58.693399999999997</v>
      </c>
      <c r="AD156" s="89">
        <v>63.545999999999999</v>
      </c>
      <c r="AE156" s="89">
        <v>65.38</v>
      </c>
      <c r="AF156" s="89">
        <v>12.01</v>
      </c>
      <c r="AG156" s="89">
        <v>30.973762000000001</v>
      </c>
      <c r="AH156" s="89">
        <v>32.064999999999998</v>
      </c>
      <c r="AI156" s="89">
        <v>14.0067</v>
      </c>
      <c r="AJ156" s="89">
        <v>10.81</v>
      </c>
      <c r="AK156" s="89">
        <v>54.938043999999998</v>
      </c>
      <c r="AL156" s="89">
        <v>24.305</v>
      </c>
      <c r="AM156" s="89">
        <v>51.996099999999998</v>
      </c>
      <c r="AN156" s="89">
        <v>95.95</v>
      </c>
      <c r="AO156" s="89">
        <v>47.866999999999997</v>
      </c>
      <c r="AP156" s="89">
        <v>50.941499999999998</v>
      </c>
      <c r="AQ156" s="89">
        <v>92.906369999999995</v>
      </c>
      <c r="AR156" s="89">
        <v>183.84</v>
      </c>
      <c r="AS156" s="89">
        <v>180.94788</v>
      </c>
      <c r="AT156" s="89">
        <v>91.224000000000004</v>
      </c>
      <c r="AU156" s="89">
        <v>58.933194999999998</v>
      </c>
      <c r="AV156" s="89">
        <v>26.981539999999999</v>
      </c>
      <c r="AW156" s="89">
        <v>121.76</v>
      </c>
      <c r="AX156" s="89">
        <v>207.2</v>
      </c>
      <c r="AY156" s="89">
        <v>118.71</v>
      </c>
      <c r="BA156" s="89"/>
      <c r="BB156" s="89"/>
    </row>
    <row r="157" spans="1:54" ht="21" x14ac:dyDescent="0.35">
      <c r="A157" s="89" t="s">
        <v>241</v>
      </c>
      <c r="B157" s="139">
        <f>100*((((B156)/(AA156))/(((B156)/(AA156))+((C156)/(AB156))+((D156)/(AC156))+((E156)/(AD156))+((F156)/(AE156))+((G156)/(AF156))+((H156)/(AG156))+((I156)/(AH156))+((J156)/(AI156))+((K156)/(AJ156))+((L156)/(AK156))+((M156)/(AL156))+((N156)/(AM156))+((O156)/(AN156))+((P156)/(AO156))+((Q156)/(AP156))+((R156)/(AQ156))+((S156)/(AR156))+((T156)/(AS156))+((U156)/(AT156))+((V156)/(AU156))+((W156)/(AV156))+((X156)/(AW156))+((Y156)/(AX156))+((Z156)/(AY156)))))</f>
        <v>61.447610301369778</v>
      </c>
      <c r="C157" s="139">
        <f>100*((((C156)/(AB156))/(((B156)/(AA156))+((C156)/(AB156))+((D156)/(AC156))+((E156)/(AD156))+((F156)/(AE156))+((G156)/(AF156))+((H156)/(AG156))+((I156)/(AH156))+((J156)/(AI156))+((K156)/(AJ156))+((L156)/(AK156))+((M156)/(AL156))+((N156)/(AM156))+((O156)/(AN156))+((P156)/(AO156))+((Q156)/(AP156))+((R156)/(AQ156))+((S156)/(AR156))+((T156)/(AS156))+((U156)/(AT156))+((V156)/(AU156))+((W156)/(AV156))+((X156)/(AW156))+((Y156)/(AX156))+((Z156)/(AY156)))))</f>
        <v>1.3221973314280848</v>
      </c>
      <c r="D157" s="139">
        <f>100*((((D156)/(AC156))/(((B156)/(AA156))+((C156)/(AB156))+((D156)/(AC156))+((E156)/(AD156))+((F156)/(AE156))+((G156)/(AF156))+((H156)/(AG156))+((I156)/(AH156))+((J156)/(AI156))+((K156)/(AJ156))+((L156)/(AK156))+((M156)/(AL156))+((N156)/(AM156))+((O156)/(AN156))+((P156)/(AO156))+((Q156)/(AP156))+((R156)/(AQ156))+((S156)/(AR156))+((T156)/(AS156))+((U156)/(AT156))+((V156)/(AU156))+((W156)/(AV156))+((X156)/(AW156))+((Y156)/(AX156))+((Z156)/(AY156)))))</f>
        <v>0</v>
      </c>
      <c r="E157" s="139">
        <f>100*((((E156)/(AD156))/(((B156)/(AA156))+((C156)/(AB156))+((D156)/(AC156))+((E156)/(AD156))+((F156)/(AE156))+((G156)/(AF156))+((H156)/(AG156))+((I156)/(AH156))+((J156)/(AI156))+((K156)/(AJ156))+((L156)/(AK156))+((M156)/(AL156))+((N156)/(AM156))+((O156)/(AN156))+((P156)/(AO156))+((Q156)/(AP156))+((R156)/(AQ156))+((S156)/(AR156))+((T156)/(AS156))+((U156)/(AT156))+((V156)/(AU156))+((W156)/(AV156))+((X156)/(AW156))+((Y156)/(AX156))+((Z156)/(AY156)))))</f>
        <v>0</v>
      </c>
      <c r="F157" s="139">
        <f>100*((((F156)/(AE156))/(((B156)/(AA156))+((C156)/(AB156))+((D156)/(AC156))+((E156)/(AD156))+((F156)/(AE156))+((G156)/(AF156))+((H156)/(AG156))+((I156)/(AH156))+((J156)/(AI156))+((K156)/(AJ156))+((L156)/(AK156))+((M156)/(AL156))+((N156)/(AM156))+((O156)/(AN156))+((P156)/(AO156))+((Q156)/(AP156))+((R156)/(AQ156))+((S156)/(AR156))+((T156)/(AS156))+((U156)/(AT156))+((V156)/(AU156))+((W156)/(AV156))+((X156)/(AW156))+((Y156)/(AX156))+((Z156)/(AY156)))))</f>
        <v>0</v>
      </c>
      <c r="G157" s="139">
        <f>100*((((G156)/(AF156))/(((B156)/(AA156))+((C156)/(AB156))+((D156)/(AC156))+((E156)/(AD156))+((F156)/(AE156))+((G156)/(AF156))+((H156)/(AG156))+((I156)/(AH156))+((J156)/(AI156))+((K156)/(AJ156))+((L156)/(AK156))+((M156)/(AL156))+((N156)/(AM156))+((O156)/(AN156))+((P156)/(AO156))+((Q156)/(AP156))+((R156)/(AQ156))+((S156)/(AR156))+((T156)/(AS156))+((U156)/(AT156))+((V156)/(AU156))+((W156)/(AV156))+((X156)/(AW156))+((Y156)/(AX156))+((Z156)/(AY156)))))</f>
        <v>11.955621664200731</v>
      </c>
      <c r="H157" s="139">
        <f>100*((((H156)/(AG156))/(((B156)/(AA156))+((C156)/(AB156))+((D156)/(AC156))+((E156)/(AD156))+((F156)/(AE156))+((G156)/(AF156))+((H156)/(AG156))+((I156)/(AH156))+((J156)/(AI156))+((K156)/(AJ156))+((L156)/(AK156))+((M156)/(AL156))+((N156)/(AM156))+((O156)/(AN156))+((P156)/(AO156))+((Q156)/(AP156))+((R156)/(AQ156))+((S156)/(AR156))+((T156)/(AS156))+((U156)/(AT156))+((V156)/(AU156))+((W156)/(AV156))+((X156)/(AW156))+((Y156)/(AX156))+((Z156)/(AY156)))))</f>
        <v>0</v>
      </c>
      <c r="I157" s="139">
        <f>100*((((I156)/(AH156))/(((B156)/(AA156))+((C156)/(AB156))+((D156)/(AC156))+((E156)/(AD156))+((F156)/(AE156))+((G156)/(AF156))+((H156)/(AG156))+((I156)/(AH156))+((J156)/(AI156))+((K156)/(AJ156))+((L156)/(AK156))+((M156)/(AL156))+((N156)/(AM156))+((O156)/(AN156))+((P156)/(AO156))+((Q156)/(AP156))+((R156)/(AQ156))+((S156)/(AR156))+((T156)/(AS156))+((U156)/(AT156))+((V156)/(AU156))+((W156)/(AV156))+((X156)/(AW156))+((Y156)/(AX156))+((Z156)/(AY156)))))</f>
        <v>0</v>
      </c>
      <c r="J157" s="139">
        <f>100*((((J156)/(AI156))/(((B156)/(AA156))+((C156)/(AB156))+((D156)/(AC156))+((E156)/(AD156))+((F156)/(AE156))+((G156)/(AF156))+((H156)/(AG156))+((I156)/(AH156))+((J156)/(AI156))+((K156)/(AJ156))+((L156)/(AK156))+((M156)/(AL156))+((N156)/(AM156))+((O156)/(AN156))+((P156)/(AO156))+((Q156)/(AP156))+((R156)/(AQ156))+((S156)/(AR156))+((T156)/(AS156))+((U156)/(AT156))+((V156)/(AU156))+((W156)/(AV156))+((X156)/(AW156))+((Y156)/(AX156))+((Z156)/(AY156)))))</f>
        <v>0</v>
      </c>
      <c r="K157" s="139">
        <f>100*((((K156)/(AJ156))/(((B156)/(AA156))+((C156)/(AB156))+((D156)/(AC156))+((E156)/(AD156))+((F156)/(AE156))+((G156)/(AF156))+((H156)/(AG156))+((I156)/(AH156))+((J156)/(AI156))+((K156)/(AJ156))+((L156)/(AK156))+((M156)/(AL156))+((N156)/(AM156))+((O156)/(AN156))+((P156)/(AO156))+((Q156)/(AP156))+((R156)/(AQ156))+((S156)/(AR156))+((T156)/(AS156))+((U156)/(AT156))+((V156)/(AU156))+((W156)/(AV156))+((X156)/(AW156))+((Y156)/(AX156))+((Z156)/(AY156)))))</f>
        <v>0</v>
      </c>
      <c r="L157" s="139">
        <f>100*((((L156)/(AK156))/(((B156)/(AA156))+((C156)/(AB156))+((D156)/(AC156))+((E156)/(AD156))+((F156)/(AE156))+((G156)/(AF156))+((H156)/(AG156))+((I156)/(AH156))+((J156)/(AI156))+((K156)/(AJ156))+((L156)/(AK156))+((M156)/(AL156))+((N156)/(AM156))+((O156)/(AN156))+((P156)/(AO156))+((Q156)/(AP156))+((R156)/(AQ156))+((S156)/(AR156))+((T156)/(AS156))+((U156)/(AT156))+((V156)/(AU156))+((W156)/(AV156))+((X156)/(AW156))+((Y156)/(AX156))+((Z156)/(AY156)))))</f>
        <v>0.45062365345980737</v>
      </c>
      <c r="M157" s="139">
        <f>100*((((M156)/(AL156))/(((B156)/(AA156))+((C156)/(AB156))+((D156)/(AC156))+((E156)/(AD156))+((F156)/(AE156))+((G156)/(AF156))+((H156)/(AG156))+((I156)/(AH156))+((J156)/(AI156))+((K156)/(AJ156))+((L156)/(AK156))+((M156)/(AL156))+((N156)/(AM156))+((O156)/(AN156))+((P156)/(AO156))+((Q156)/(AP156))+((R156)/(AQ156))+((S156)/(AR156))+((T156)/(AS156))+((U156)/(AT156))+((V156)/(AU156))+((W156)/(AV156))+((X156)/(AW156))+((Y156)/(AX156))+((Z156)/(AY156)))))</f>
        <v>0</v>
      </c>
      <c r="N157" s="139">
        <f>100*((((N156)/(AM156))/(((B156)/(AA156))+((C156)/(AB156))+((D156)/(AC156))+((E156)/(AD156))+((F156)/(AE156))+((G156)/(AF156))+((H156)/(AG156))+((I156)/(AH156))+((J156)/(AI156))+((K156)/(AJ156))+((L156)/(AK156))+((M156)/(AL156))+((N156)/(AM156))+((O156)/(AN156))+((P156)/(AO156))+((Q156)/(AP156))+((R156)/(AQ156))+((S156)/(AR156))+((T156)/(AS156))+((U156)/(AT156))+((V156)/(AU156))+((W156)/(AV156))+((X156)/(AW156))+((Y156)/(AX156))+((Z156)/(AY156)))))</f>
        <v>24.282118988962598</v>
      </c>
      <c r="O157" s="139">
        <f>100*((((O156)/(AN156))/(((B156)/(AA156))+((C156)/(AB156))+((D156)/(AC156))+((E156)/(AD156))+((F156)/(AE156))+((G156)/(AF156))+((H156)/(AG156))+((I156)/(AH156))+((J156)/(AI156))+((K156)/(AJ156))+((L156)/(AK156))+((M156)/(AL156))+((N156)/(AM156))+((O156)/(AN156))+((P156)/(AO156))+((Q156)/(AP156))+((R156)/(AQ156))+((S156)/(AR156))+((T156)/(AS156))+((U156)/(AT156))+((V156)/(AU156))+((W156)/(AV156))+((X156)/(AW156))+((Y156)/(AX156))+((Z156)/(AY156)))))</f>
        <v>0.54182806057897726</v>
      </c>
      <c r="P157" s="139">
        <f>100*((((P156)/(AO156))/(((B156)/(AA156))+((C156)/(AB156))+((D156)/(AC156))+((E156)/(AD156))+((F156)/(AE156))+((G156)/(AF156))+((H156)/(AG156))+((I156)/(AH156))+((J156)/(AI156))+((K156)/(AJ156))+((L156)/(AK156))+((M156)/(AL156))+((N156)/(AM156))+((O156)/(AN156))+((P156)/(AO156))+((Q156)/(AP156))+((R156)/(AQ156))+((S156)/(AR156))+((T156)/(AS156))+((U156)/(AT156))+((V156)/(AU156))+((W156)/(AV156))+((X156)/(AW156))+((Y156)/(AX156))+((Z156)/(AY156)))))</f>
        <v>0</v>
      </c>
      <c r="Q157" s="139">
        <f>100*((((Q156)/(AP156))/(((B156)/(AA156))+((C156)/(AB156))+((D156)/(AC156))+((E156)/(AD156))+((F156)/(AE156))+((G156)/(AF156))+((H156)/(AG156))+((I156)/(AH156))+((J156)/(AI156))+((K156)/(AJ156))+((L156)/(AK156))+((M156)/(AL156))+((N156)/(AM156))+((O156)/(AN156))+((P156)/(AO156))+((Q156)/(AP156))+((R156)/(AQ156))+((S156)/(AR156))+((T156)/(AS156))+((U156)/(AT156))+((V156)/(AU156))+((W156)/(AV156))+((X156)/(AW156))+((Y156)/(AX156))+((Z156)/(AY156)))))</f>
        <v>0</v>
      </c>
      <c r="R157" s="139">
        <f>100*((((R156)/(AQ156))/(((B156)/(AA156))+((C156)/(AB156))+((D156)/(AC156))+((E156)/(AD156))+((F156)/(AE156))+((G156)/(AF156))+((H156)/(AG156))+((I156)/(AH156))+((J156)/(AI156))+((K156)/(AJ156))+((L156)/(AK156))+((M156)/(AL156))+((N156)/(AM156))+((O156)/(AN156))+((P156)/(AO156))+((Q156)/(AP156))+((R156)/(AQ156))+((S156)/(AR156))+((T156)/(AS156))+((U156)/(AT156))+((V156)/(AU156))+((W156)/(AV156))+((X156)/(AW156))+((Y156)/(AX156))+((Z156)/(AY156)))))</f>
        <v>0</v>
      </c>
      <c r="S157" s="139">
        <f>100*((((S156)/(AR156))/(((B156)/(AA156))+((C156)/(AB156))+((D156)/(AC156))+((E156)/(AD156))+((F156)/(AE156))+((G156)/(AF156))+((H156)/(AG156))+((I156)/(AH156))+((J156)/(AI156))+((K156)/(AJ156))+((L156)/(AK156))+((M156)/(AL156))+((N156)/(AM156))+((O156)/(AN156))+((P156)/(AO156))+((Q156)/(AP156))+((R156)/(AQ156))+((S156)/(AR156))+((T156)/(AS156))+((U156)/(AT156))+((V156)/(AU156))+((W156)/(AV156))+((X156)/(AW156))+((Y156)/(AX156))+((Z156)/(AY156)))))</f>
        <v>0</v>
      </c>
      <c r="T157" s="139">
        <f>100*((((T156)/(AS156))/(((B156)/(AA156))+((C156)/(AB156))+((D156)/(AC156))+((E156)/(AD156))+((F156)/(AE156))+((G156)/(AF156))+((H156)/(AG156))+((I156)/(AH156))+((J156)/(AI156))+((K156)/(AJ156))+((L156)/(AK156))+((M156)/(AL156))+((N156)/(AM156))+((O156)/(AN156))+((P156)/(AO156))+((Q156)/(AP156))+((R156)/(AQ156))+((S156)/(AR156))+((T156)/(AS156))+((U156)/(AT156))+((V156)/(AU156))+((W156)/(AV156))+((X156)/(AW156))+((Y156)/(AX156))+((Z156)/(AY156)))))</f>
        <v>0</v>
      </c>
      <c r="U157" s="139">
        <f>100*((((U156)/(AT156))/(((B156)/(AA156))+((C156)/(AB156))+((D156)/(AC156))+((E156)/(AD156))+((F156)/(AE156))+((G156)/(AF156))+((H156)/(AG156))+((I156)/(AH156))+((J156)/(AI156))+((K156)/(AJ156))+((L156)/(AK156))+((M156)/(AL156))+((N156)/(AM156))+((O156)/(AN156))+((P156)/(AO156))+((Q156)/(AP156))+((R156)/(AQ156))+((S156)/(AR156))+((T156)/(AS156))+((U156)/(AT156))+((V156)/(AU156))+((W156)/(AV156))+((X156)/(AW156))+((Y156)/(AX156))+((Z156)/(AY156)))))</f>
        <v>0</v>
      </c>
      <c r="V157" s="139">
        <f>100*((((V156)/(AU156))/(((B156)/(AA156))+((C156)/(AB156))+((D156)/(AC156))+((E156)/(AD156))+((F156)/(AE156))+((G156)/(AF156))+((H156)/(AG156))+((I156)/(AH156))+((J156)/(AI156))+((K156)/(AJ156))+((L156)/(AK156))+((M156)/(AL156))+((N156)/(AM156))+((O156)/(AN156))+((P156)/(AO156))+((Q156)/(AP156))+((R156)/(AQ156))+((S156)/(AR156))+((T156)/(AS156))+((U156)/(AT156))+((V156)/(AU156))+((W156)/(AV156))+((X156)/(AW156))+((Y156)/(AX156))+((Z156)/(AY156)))))</f>
        <v>0</v>
      </c>
      <c r="W157" s="139">
        <f>100*((((W156)/(AV156))/(((B156)/(AA156))+((C156)/(AB156))+((D156)/(AC156))+((E156)/(AD156))+((F156)/(AE156))+((G156)/(AF156))+((H156)/(AG156))+((I156)/(AH156))+((J156)/(AI156))+((K156)/(AJ156))+((L156)/(AK156))+((M156)/(AL156))+((N156)/(AM156))+((O156)/(AN156))+((P156)/(AO156))+((Q156)/(AP156))+((R156)/(AQ156))+((S156)/(AR156))+((T156)/(AS156))+((U156)/(AT156))+((V156)/(AU156))+((W156)/(AV156))+((X156)/(AW156))+((Y156)/(AX156))+((Z156)/(AY156)))))</f>
        <v>0</v>
      </c>
      <c r="X157" s="89">
        <f>100*((((X156)/(AW156))/(((B156)/(AA156))+((C156)/(AB156))+((D156)/(AC156))+((E156)/(AD156))+((F156)/(AE156))+((G156)/(AF156))+((H156)/(AG156))+((I156)/(AH156))+((J156)/(AI156))+((K156)/(AJ156))+((L156)/(AK156))+((M156)/(AL156))+((N156)/(AM156))+((O156)/(AN156))+((P156)/(AO156))+((Q156)/(AP156))+((R156)/(AQ156))+((S156)/(AR156))+((T156)/(AS156))+((U156)/(AT156))+((V156)/(AU156))+((W156)/(AV156))+((X156)/(AW156))+((Y156)/(AX156))+((Z156)/(AY156)))))</f>
        <v>0</v>
      </c>
      <c r="Y157" s="89">
        <f>100*((((Y156)/(AX156))/(((B156)/(AA156))+((C156)/(AB156))+((D156)/(AC156))+((E156)/(AD156))+((F156)/(AE156))+((G156)/(AF156))+((H156)/(AG156))+((I156)/(AH156))+((J156)/(AI156))+((K156)/(AJ156))+((L156)/(AK156))+((M156)/(AL156))+((N156)/(AM156))+((O156)/(AN156))+((P156)/(AO156))+((Q156)/(AP156))+((R156)/(AQ156))+((S156)/(AR156))+((T156)/(AS156))+((U156)/(AT156))+((V156)/(AU156))+((W156)/(AV156))+((X156)/(AW156))+((Y156)/(AX156))+((Z156)/(AY156)))))</f>
        <v>0</v>
      </c>
      <c r="Z157" s="89">
        <f>100*((((Z156)/(AY156))/(((B156)/(AA156))+((C156)/(AB156))+((D156)/(AC156))+((E156)/(AD156))+((F156)/(AE156))+((G156)/(AF156))+((H156)/(AG156))+((I156)/(AH156))+((J156)/(AI156))+((K156)/(AJ156))+((L156)/(AK156))+((M156)/(AL156))+((N156)/(AM156))+((O156)/(AN156))+((P156)/(AO156))+((Q156)/(AP156))+((R156)/(AQ156))+((S156)/(AR156))+((T156)/(AS156))+((U156)/(AT156))+((V156)/(AU156))+((W156)/(AV156))+((X156)/(AW156))+((Y156)/(AX156))+((Z156)/(AY156)))))</f>
        <v>0</v>
      </c>
      <c r="AA157" s="89"/>
      <c r="AB157" s="89"/>
      <c r="AC157" s="89"/>
      <c r="AD157" s="89"/>
      <c r="AE157" s="89"/>
      <c r="AF157" s="89"/>
      <c r="AG157" s="89"/>
      <c r="AH157" s="89"/>
      <c r="AI157" s="89"/>
      <c r="AJ157" s="89"/>
      <c r="AK157" s="89"/>
      <c r="AL157" s="89"/>
      <c r="AM157" s="89"/>
      <c r="AN157" s="89"/>
      <c r="AO157" s="89"/>
      <c r="AP157" s="89"/>
      <c r="AQ157" s="89"/>
      <c r="AR157" s="89"/>
      <c r="AS157" s="89"/>
      <c r="AT157" s="89"/>
      <c r="AU157" s="89"/>
      <c r="AV157" s="89"/>
      <c r="AW157" s="89"/>
      <c r="AX157" s="89"/>
      <c r="AY157" s="89"/>
      <c r="BA157" s="89"/>
      <c r="BB157" s="89"/>
    </row>
    <row r="158" spans="1:54" ht="21" x14ac:dyDescent="0.35">
      <c r="A158" s="89">
        <f>599-B158</f>
        <v>230.92881429479502</v>
      </c>
      <c r="B158" s="89">
        <f>599*B157/100</f>
        <v>368.07118570520498</v>
      </c>
      <c r="C158" s="89">
        <f>599*C157/100</f>
        <v>7.9199620152542289</v>
      </c>
      <c r="D158" s="89">
        <f t="shared" ref="D158:Z158" si="42">599*D157/100</f>
        <v>0</v>
      </c>
      <c r="E158" s="89">
        <f t="shared" si="42"/>
        <v>0</v>
      </c>
      <c r="F158" s="89">
        <f t="shared" si="42"/>
        <v>0</v>
      </c>
      <c r="G158" s="89">
        <f t="shared" si="42"/>
        <v>71.614173768562381</v>
      </c>
      <c r="H158" s="89">
        <f t="shared" si="42"/>
        <v>0</v>
      </c>
      <c r="I158" s="89">
        <f t="shared" si="42"/>
        <v>0</v>
      </c>
      <c r="J158" s="89">
        <f t="shared" si="42"/>
        <v>0</v>
      </c>
      <c r="K158" s="89">
        <f t="shared" si="42"/>
        <v>0</v>
      </c>
      <c r="L158" s="89">
        <f t="shared" si="42"/>
        <v>2.6992356842242464</v>
      </c>
      <c r="M158" s="89">
        <f t="shared" si="42"/>
        <v>0</v>
      </c>
      <c r="N158" s="89">
        <f t="shared" si="42"/>
        <v>145.44989274388595</v>
      </c>
      <c r="O158" s="89">
        <f t="shared" si="42"/>
        <v>3.2455500828680739</v>
      </c>
      <c r="P158" s="89">
        <f t="shared" si="42"/>
        <v>0</v>
      </c>
      <c r="Q158" s="89">
        <f t="shared" si="42"/>
        <v>0</v>
      </c>
      <c r="R158" s="89">
        <f t="shared" si="42"/>
        <v>0</v>
      </c>
      <c r="S158" s="89">
        <f t="shared" si="42"/>
        <v>0</v>
      </c>
      <c r="T158" s="89">
        <f t="shared" si="42"/>
        <v>0</v>
      </c>
      <c r="U158" s="89">
        <f t="shared" si="42"/>
        <v>0</v>
      </c>
      <c r="V158" s="89">
        <f t="shared" si="42"/>
        <v>0</v>
      </c>
      <c r="W158" s="89">
        <f t="shared" si="42"/>
        <v>0</v>
      </c>
      <c r="X158" s="89">
        <f t="shared" si="42"/>
        <v>0</v>
      </c>
      <c r="Y158" s="89">
        <f t="shared" si="42"/>
        <v>0</v>
      </c>
      <c r="Z158" s="89">
        <f t="shared" si="42"/>
        <v>0</v>
      </c>
      <c r="AA158" s="89"/>
      <c r="AB158" s="89"/>
      <c r="AC158" s="89"/>
      <c r="AD158" s="89"/>
      <c r="AE158" s="89"/>
      <c r="AF158" s="89"/>
      <c r="AG158" s="89"/>
      <c r="AH158" s="89"/>
      <c r="AI158" s="89"/>
      <c r="AJ158" s="89"/>
      <c r="AK158" s="89"/>
      <c r="AL158" s="89"/>
      <c r="AM158" s="89"/>
      <c r="AN158" s="89"/>
      <c r="AO158" s="89"/>
      <c r="AP158" s="89"/>
      <c r="AQ158" s="89"/>
      <c r="AR158" s="89"/>
      <c r="AS158" s="89"/>
      <c r="AT158" s="89"/>
      <c r="AU158" s="89"/>
      <c r="AV158" s="89"/>
      <c r="AW158" s="89"/>
      <c r="AX158" s="89"/>
      <c r="AY158" s="89"/>
      <c r="BA158" s="89"/>
      <c r="BB158" s="89"/>
    </row>
    <row r="159" spans="1:54" ht="21" x14ac:dyDescent="0.35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>
        <v>1</v>
      </c>
      <c r="R159" s="49">
        <f>Q159*100/599</f>
        <v>0.1669449081803005</v>
      </c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  <c r="AH159" s="89"/>
      <c r="AI159" s="89"/>
      <c r="AJ159" s="89"/>
      <c r="AK159" s="89"/>
      <c r="AL159" s="89"/>
      <c r="AM159" s="89"/>
      <c r="AN159" s="89"/>
      <c r="AO159" s="89"/>
      <c r="AP159" s="89"/>
      <c r="AQ159" s="89"/>
      <c r="AR159" s="89"/>
      <c r="AS159" s="89"/>
      <c r="AT159" s="89"/>
      <c r="AU159" s="89"/>
      <c r="AV159" s="89"/>
      <c r="AW159" s="89"/>
      <c r="AX159" s="89"/>
      <c r="AY159" s="89"/>
      <c r="BA159" s="89"/>
      <c r="BB159" s="89"/>
    </row>
    <row r="160" spans="1:54" ht="21" x14ac:dyDescent="0.35">
      <c r="A160" s="89">
        <f>B160+C160+D160+E160+F160+G160+H160+I160+J160+K160+L160+M160+N160+O160+P160+Q160+R160+S160+T160+U160+V160+W160+X160+Y160+Z160</f>
        <v>3.7108898163606008</v>
      </c>
      <c r="B160" s="89"/>
      <c r="C160" s="89">
        <v>0.13900000000000001</v>
      </c>
      <c r="D160" s="89">
        <v>3.7999999999999999E-2</v>
      </c>
      <c r="E160" s="89"/>
      <c r="F160" s="89"/>
      <c r="G160" s="89">
        <v>0.1</v>
      </c>
      <c r="H160" s="89">
        <v>0.1</v>
      </c>
      <c r="I160" s="89">
        <f>I158</f>
        <v>0</v>
      </c>
      <c r="J160" s="89"/>
      <c r="K160" s="89">
        <v>0.62</v>
      </c>
      <c r="L160" s="89"/>
      <c r="M160" s="89"/>
      <c r="N160" s="89"/>
      <c r="O160" s="89">
        <v>0.38</v>
      </c>
      <c r="P160" s="89"/>
      <c r="Q160">
        <v>2</v>
      </c>
      <c r="R160" s="49">
        <f t="shared" ref="R160" si="43">Q160*100/599</f>
        <v>0.333889816360601</v>
      </c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  <c r="AK160" s="89"/>
      <c r="AL160" s="89"/>
      <c r="AM160" s="89"/>
      <c r="AN160" s="89"/>
      <c r="AO160" s="89"/>
      <c r="AP160" s="89"/>
      <c r="AQ160" s="89"/>
      <c r="AR160" s="89"/>
      <c r="AS160" s="89"/>
      <c r="AT160" s="89"/>
      <c r="AU160" s="89"/>
      <c r="AV160" s="89"/>
      <c r="AW160" s="89"/>
      <c r="AX160" s="89"/>
      <c r="AY160" s="89"/>
      <c r="BA160" s="89"/>
      <c r="BB160" s="89"/>
    </row>
    <row r="161" spans="1:54" ht="21" x14ac:dyDescent="0.35">
      <c r="A161" s="89" t="s">
        <v>218</v>
      </c>
      <c r="B161" s="89">
        <f>K158+O158+U158+Q158+L158+M158+P158+N158</f>
        <v>151.39467851097828</v>
      </c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>
        <v>3</v>
      </c>
      <c r="R161" s="49">
        <f>Q161*100/599</f>
        <v>0.5008347245409015</v>
      </c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  <c r="AJ161" s="89"/>
      <c r="AK161" s="89"/>
      <c r="AL161" s="89"/>
      <c r="AM161" s="89"/>
      <c r="AN161" s="89"/>
      <c r="AO161" s="89"/>
      <c r="AP161" s="89"/>
      <c r="AQ161" s="89"/>
      <c r="AR161" s="89"/>
      <c r="AS161" s="89"/>
      <c r="AT161" s="89"/>
      <c r="AU161" s="89"/>
      <c r="AV161" s="89"/>
      <c r="AW161" s="89"/>
      <c r="AX161" s="89"/>
      <c r="AY161" s="89"/>
      <c r="BA161" s="89"/>
      <c r="BB161" s="89"/>
    </row>
    <row r="162" spans="1:54" ht="21" x14ac:dyDescent="0.35">
      <c r="A162" s="89" t="s">
        <v>237</v>
      </c>
      <c r="B162" s="89">
        <f>C158+D158+G158+H158+I158+J158+E158+F158</f>
        <v>79.534135783816609</v>
      </c>
      <c r="C162" s="89" t="s">
        <v>248</v>
      </c>
      <c r="D162" s="89"/>
      <c r="E162" s="89"/>
      <c r="F162" s="89"/>
      <c r="G162" s="89"/>
      <c r="H162" s="89"/>
      <c r="I162" s="89"/>
      <c r="J162" s="89"/>
      <c r="K162" s="89">
        <f>3-O160-U160</f>
        <v>2.62</v>
      </c>
      <c r="L162" s="89"/>
      <c r="M162" s="89"/>
      <c r="N162" s="89"/>
      <c r="O162" s="89"/>
      <c r="P162" s="89"/>
      <c r="Q162">
        <v>4</v>
      </c>
      <c r="R162" s="49">
        <f t="shared" ref="R162:R163" si="44">Q162*100/599</f>
        <v>0.667779632721202</v>
      </c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  <c r="AE162" s="89"/>
      <c r="AF162" s="89"/>
      <c r="AG162" s="89"/>
      <c r="AH162" s="89"/>
      <c r="AI162" s="89"/>
      <c r="AJ162" s="89"/>
      <c r="AK162" s="89"/>
      <c r="AL162" s="89"/>
      <c r="AM162" s="89"/>
      <c r="AN162" s="89"/>
      <c r="AO162" s="89"/>
      <c r="AP162" s="89"/>
      <c r="AQ162" s="89"/>
      <c r="AR162" s="89"/>
      <c r="AS162" s="89"/>
      <c r="AT162" s="89"/>
      <c r="AU162" s="89"/>
      <c r="AV162" s="89"/>
      <c r="AW162" s="89"/>
      <c r="AX162" s="89"/>
      <c r="AY162" s="89"/>
      <c r="BA162" s="89"/>
      <c r="BB162" s="89"/>
    </row>
    <row r="163" spans="1:54" ht="21" x14ac:dyDescent="0.35">
      <c r="A163" s="89"/>
      <c r="B163" s="179">
        <f>B161+B162</f>
        <v>230.9288142947949</v>
      </c>
      <c r="C163" s="89" t="s">
        <v>247</v>
      </c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>
        <v>5</v>
      </c>
      <c r="R163" s="49">
        <f t="shared" si="44"/>
        <v>0.8347245409015025</v>
      </c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  <c r="AE163" s="89"/>
      <c r="AF163" s="89"/>
      <c r="AG163" s="89"/>
      <c r="AH163" s="89"/>
      <c r="AI163" s="89"/>
      <c r="AJ163" s="89"/>
      <c r="AK163" s="89"/>
      <c r="AL163" s="89"/>
      <c r="AM163" s="89"/>
      <c r="AN163" s="89"/>
      <c r="AO163" s="89"/>
      <c r="AP163" s="89"/>
      <c r="AQ163" s="89"/>
      <c r="AR163" s="89"/>
      <c r="AS163" s="89"/>
      <c r="AT163" s="89"/>
      <c r="AU163" s="89"/>
      <c r="AV163" s="89"/>
      <c r="AW163" s="89"/>
      <c r="AX163" s="89"/>
      <c r="AY163" s="89"/>
      <c r="AZ163" s="89"/>
      <c r="BA163" s="89"/>
      <c r="BB163" s="89"/>
    </row>
    <row r="164" spans="1:54" ht="21" x14ac:dyDescent="0.35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  <c r="AE164" s="89"/>
      <c r="AF164" s="89"/>
      <c r="AG164" s="89"/>
      <c r="AH164" s="89"/>
      <c r="AI164" s="89"/>
      <c r="AJ164" s="89"/>
      <c r="AK164" s="89"/>
      <c r="AL164" s="89"/>
      <c r="AM164" s="89"/>
      <c r="AN164" s="89"/>
      <c r="AO164" s="89"/>
      <c r="AP164" s="89"/>
      <c r="AQ164" s="89"/>
      <c r="AR164" s="89"/>
      <c r="AS164" s="89"/>
      <c r="AT164" s="89"/>
      <c r="AU164" s="89"/>
      <c r="AV164" s="89"/>
      <c r="AW164" s="89"/>
      <c r="AX164" s="89"/>
      <c r="AY164" s="89"/>
      <c r="AZ164" s="89"/>
      <c r="BA164" s="89"/>
      <c r="BB164" s="89"/>
    </row>
    <row r="165" spans="1:54" ht="28.5" x14ac:dyDescent="0.45">
      <c r="A165" s="271" t="s">
        <v>290</v>
      </c>
      <c r="B165" s="266" t="s">
        <v>14</v>
      </c>
      <c r="C165" s="266" t="s">
        <v>15</v>
      </c>
      <c r="D165" s="266" t="s">
        <v>8</v>
      </c>
      <c r="E165" s="266" t="s">
        <v>9</v>
      </c>
      <c r="F165" s="266" t="s">
        <v>234</v>
      </c>
      <c r="G165" s="266" t="s">
        <v>56</v>
      </c>
      <c r="H165" s="266" t="s">
        <v>57</v>
      </c>
      <c r="I165" s="266" t="s">
        <v>58</v>
      </c>
      <c r="J165" s="266" t="s">
        <v>77</v>
      </c>
      <c r="K165" s="267" t="s">
        <v>204</v>
      </c>
      <c r="L165" s="266" t="s">
        <v>16</v>
      </c>
      <c r="M165" s="266" t="s">
        <v>13</v>
      </c>
      <c r="N165" s="266" t="s">
        <v>44</v>
      </c>
      <c r="O165" s="266" t="s">
        <v>55</v>
      </c>
      <c r="P165" s="266" t="s">
        <v>17</v>
      </c>
      <c r="Q165" s="266" t="s">
        <v>80</v>
      </c>
      <c r="R165" s="266" t="s">
        <v>81</v>
      </c>
      <c r="S165" s="266" t="s">
        <v>82</v>
      </c>
      <c r="T165" s="266" t="s">
        <v>83</v>
      </c>
      <c r="U165" s="266" t="s">
        <v>45</v>
      </c>
      <c r="V165" s="266" t="s">
        <v>43</v>
      </c>
      <c r="W165" s="266" t="s">
        <v>12</v>
      </c>
      <c r="X165" s="266" t="s">
        <v>0</v>
      </c>
      <c r="Y165" s="266" t="s">
        <v>11</v>
      </c>
      <c r="Z165" s="266" t="s">
        <v>10</v>
      </c>
      <c r="AA165" s="266" t="s">
        <v>14</v>
      </c>
      <c r="AB165" s="266" t="s">
        <v>15</v>
      </c>
      <c r="AC165" s="266" t="s">
        <v>8</v>
      </c>
      <c r="AD165" s="266" t="s">
        <v>9</v>
      </c>
      <c r="AE165" s="266" t="s">
        <v>234</v>
      </c>
      <c r="AF165" s="266" t="s">
        <v>56</v>
      </c>
      <c r="AG165" s="266" t="s">
        <v>57</v>
      </c>
      <c r="AH165" s="266" t="s">
        <v>58</v>
      </c>
      <c r="AI165" s="266" t="s">
        <v>77</v>
      </c>
      <c r="AJ165" s="267" t="s">
        <v>204</v>
      </c>
      <c r="AK165" s="266" t="s">
        <v>16</v>
      </c>
      <c r="AL165" s="266" t="s">
        <v>13</v>
      </c>
      <c r="AM165" s="266" t="s">
        <v>44</v>
      </c>
      <c r="AN165" s="266" t="s">
        <v>55</v>
      </c>
      <c r="AO165" s="266" t="s">
        <v>17</v>
      </c>
      <c r="AP165" s="266" t="s">
        <v>80</v>
      </c>
      <c r="AQ165" s="266" t="s">
        <v>81</v>
      </c>
      <c r="AR165" s="266" t="s">
        <v>82</v>
      </c>
      <c r="AS165" s="266" t="s">
        <v>83</v>
      </c>
      <c r="AT165" s="266" t="s">
        <v>45</v>
      </c>
      <c r="AU165" s="266" t="s">
        <v>43</v>
      </c>
      <c r="AV165" s="266" t="s">
        <v>12</v>
      </c>
      <c r="AW165" s="266" t="s">
        <v>0</v>
      </c>
      <c r="AX165" s="266" t="s">
        <v>11</v>
      </c>
      <c r="AY165" s="266" t="s">
        <v>10</v>
      </c>
      <c r="AZ165" s="89"/>
      <c r="BA165" s="89"/>
      <c r="BB165" s="89"/>
    </row>
    <row r="166" spans="1:54" ht="21" x14ac:dyDescent="0.35">
      <c r="A166" s="272" t="s">
        <v>289</v>
      </c>
      <c r="B166" s="139">
        <f>100-C166-D166-E166-F166-G166-H166-I166-J166-K166-L166-M166-N166-O166-P166-Q166-R166-S166-T166-U166-V166-W166-X166-Y166-Z166</f>
        <v>78.820000000000007</v>
      </c>
      <c r="C166" s="177">
        <v>1.6</v>
      </c>
      <c r="D166" s="177">
        <v>1.25</v>
      </c>
      <c r="E166" s="177">
        <v>0.6</v>
      </c>
      <c r="F166" s="177"/>
      <c r="G166" s="177">
        <v>2.65</v>
      </c>
      <c r="H166" s="177">
        <v>0.05</v>
      </c>
      <c r="I166" s="177">
        <v>0.03</v>
      </c>
      <c r="J166" s="177"/>
      <c r="K166" s="177"/>
      <c r="L166" s="177">
        <v>1</v>
      </c>
      <c r="M166" s="177"/>
      <c r="N166" s="177">
        <v>12.5</v>
      </c>
      <c r="O166" s="177">
        <v>1.5</v>
      </c>
      <c r="P166" s="177"/>
      <c r="Q166" s="177"/>
      <c r="R166" s="177"/>
      <c r="S166" s="177"/>
      <c r="T166" s="177"/>
      <c r="U166" s="177"/>
      <c r="V166" s="177"/>
      <c r="W166" s="177"/>
      <c r="X166" s="177"/>
      <c r="Y166" s="177"/>
      <c r="Z166" s="177"/>
      <c r="AA166" s="189">
        <v>55.84</v>
      </c>
      <c r="AB166" s="89">
        <v>28.0855</v>
      </c>
      <c r="AC166" s="89">
        <v>58.693399999999997</v>
      </c>
      <c r="AD166" s="89">
        <v>63.545999999999999</v>
      </c>
      <c r="AE166" s="89">
        <v>65.38</v>
      </c>
      <c r="AF166" s="89">
        <v>12.01</v>
      </c>
      <c r="AG166" s="89">
        <v>30.973762000000001</v>
      </c>
      <c r="AH166" s="89">
        <v>32.064999999999998</v>
      </c>
      <c r="AI166" s="89">
        <v>14.0067</v>
      </c>
      <c r="AJ166" s="89">
        <v>10.81</v>
      </c>
      <c r="AK166" s="89">
        <v>54.938043999999998</v>
      </c>
      <c r="AL166" s="89">
        <v>24.305</v>
      </c>
      <c r="AM166" s="89">
        <v>51.996099999999998</v>
      </c>
      <c r="AN166" s="89">
        <v>95.95</v>
      </c>
      <c r="AO166" s="89">
        <v>47.866999999999997</v>
      </c>
      <c r="AP166" s="89">
        <v>50.941499999999998</v>
      </c>
      <c r="AQ166" s="89">
        <v>92.906369999999995</v>
      </c>
      <c r="AR166" s="89">
        <v>183.84</v>
      </c>
      <c r="AS166" s="89">
        <v>180.94788</v>
      </c>
      <c r="AT166" s="89">
        <v>91.224000000000004</v>
      </c>
      <c r="AU166" s="89">
        <v>58.933194999999998</v>
      </c>
      <c r="AV166" s="89">
        <v>26.981539999999999</v>
      </c>
      <c r="AW166" s="89">
        <v>121.76</v>
      </c>
      <c r="AX166" s="89">
        <v>207.2</v>
      </c>
      <c r="AY166" s="89">
        <v>118.71</v>
      </c>
      <c r="AZ166" s="89"/>
      <c r="BA166" s="89"/>
      <c r="BB166" s="89"/>
    </row>
    <row r="167" spans="1:54" ht="21" x14ac:dyDescent="0.35">
      <c r="A167" s="89" t="s">
        <v>241</v>
      </c>
      <c r="B167" s="139">
        <f>100*((((B166)/(AA166))/(((B166)/(AA166))+((C166)/(AB166))+((D166)/(AC166))+((E166)/(AD166))+((F166)/(AE166))+((G166)/(AF166))+((H166)/(AG166))+((I166)/(AH166))+((J166)/(AI166))+((K166)/(AJ166))+((L166)/(AK166))+((M166)/(AL166))+((N166)/(AM166))+((O166)/(AN166))+((P166)/(AO166))+((Q166)/(AP166))+((R166)/(AQ166))+((S166)/(AR166))+((T166)/(AS166))+((U166)/(AT166))+((V166)/(AU166))+((W166)/(AV166))+((X166)/(AW166))+((Y166)/(AX166))+((Z166)/(AY166)))))</f>
        <v>70.694056937792453</v>
      </c>
      <c r="C167" s="139">
        <f>100*((((C166)/(AB166))/(((B166)/(AA166))+((C166)/(AB166))+((D166)/(AC166))+((E166)/(AD166))+((F166)/(AE166))+((G166)/(AF166))+((H166)/(AG166))+((I166)/(AH166))+((J166)/(AI166))+((K166)/(AJ166))+((L166)/(AK166))+((M166)/(AL166))+((N166)/(AM166))+((O166)/(AN166))+((P166)/(AO166))+((Q166)/(AP166))+((R166)/(AQ166))+((S166)/(AR166))+((T166)/(AS166))+((U166)/(AT166))+((V166)/(AU166))+((W166)/(AV166))+((X166)/(AW166))+((Y166)/(AX166))+((Z166)/(AY166)))))</f>
        <v>2.8531835218789645</v>
      </c>
      <c r="D167" s="139">
        <f>100*((((D166)/(AC166))/(((B166)/(AA166))+((C166)/(AB166))+((D166)/(AC166))+((E166)/(AD166))+((F166)/(AE166))+((G166)/(AF166))+((H166)/(AG166))+((I166)/(AH166))+((J166)/(AI166))+((K166)/(AJ166))+((L166)/(AK166))+((M166)/(AL166))+((N166)/(AM166))+((O166)/(AN166))+((P166)/(AO166))+((Q166)/(AP166))+((R166)/(AQ166))+((S166)/(AR166))+((T166)/(AS166))+((U166)/(AT166))+((V166)/(AU166))+((W166)/(AV166))+((X166)/(AW166))+((Y166)/(AX166))+((Z166)/(AY166)))))</f>
        <v>1.0666271383863493</v>
      </c>
      <c r="E167" s="139">
        <f>100*((((E166)/(AD166))/(((B166)/(AA166))+((C166)/(AB166))+((D166)/(AC166))+((E166)/(AD166))+((F166)/(AE166))+((G166)/(AF166))+((H166)/(AG166))+((I166)/(AH166))+((J166)/(AI166))+((K166)/(AJ166))+((L166)/(AK166))+((M166)/(AL166))+((N166)/(AM166))+((O166)/(AN166))+((P166)/(AO166))+((Q166)/(AP166))+((R166)/(AQ166))+((S166)/(AR166))+((T166)/(AS166))+((U166)/(AT166))+((V166)/(AU166))+((W166)/(AV166))+((X166)/(AW166))+((Y166)/(AX166))+((Z166)/(AY166)))))</f>
        <v>0.47288432279607484</v>
      </c>
      <c r="F167" s="139">
        <f>100*((((F166)/(AE166))/(((B166)/(AA166))+((C166)/(AB166))+((D166)/(AC166))+((E166)/(AD166))+((F166)/(AE166))+((G166)/(AF166))+((H166)/(AG166))+((I166)/(AH166))+((J166)/(AI166))+((K166)/(AJ166))+((L166)/(AK166))+((M166)/(AL166))+((N166)/(AM166))+((O166)/(AN166))+((P166)/(AO166))+((Q166)/(AP166))+((R166)/(AQ166))+((S166)/(AR166))+((T166)/(AS166))+((U166)/(AT166))+((V166)/(AU166))+((W166)/(AV166))+((X166)/(AW166))+((Y166)/(AX166))+((Z166)/(AY166)))))</f>
        <v>0</v>
      </c>
      <c r="G167" s="139">
        <f>100*((((G166)/(AF166))/(((B166)/(AA166))+((C166)/(AB166))+((D166)/(AC166))+((E166)/(AD166))+((F166)/(AE166))+((G166)/(AF166))+((H166)/(AG166))+((I166)/(AH166))+((J166)/(AI166))+((K166)/(AJ166))+((L166)/(AK166))+((M166)/(AL166))+((N166)/(AM166))+((O166)/(AN166))+((P166)/(AO166))+((Q166)/(AP166))+((R166)/(AQ166))+((S166)/(AR166))+((T166)/(AS166))+((U166)/(AT166))+((V166)/(AU166))+((W166)/(AV166))+((X166)/(AW166))+((Y166)/(AX166))+((Z166)/(AY166)))))</f>
        <v>11.050826258320612</v>
      </c>
      <c r="H167" s="139">
        <f>100*((((H166)/(AG166))/(((B166)/(AA166))+((C166)/(AB166))+((D166)/(AC166))+((E166)/(AD166))+((F166)/(AE166))+((G166)/(AF166))+((H166)/(AG166))+((I166)/(AH166))+((J166)/(AI166))+((K166)/(AJ166))+((L166)/(AK166))+((M166)/(AL166))+((N166)/(AM166))+((O166)/(AN166))+((P166)/(AO166))+((Q166)/(AP166))+((R166)/(AQ166))+((S166)/(AR166))+((T166)/(AS166))+((U166)/(AT166))+((V166)/(AU166))+((W166)/(AV166))+((X166)/(AW166))+((Y166)/(AX166))+((Z166)/(AY166)))))</f>
        <v>8.0847748858101712E-2</v>
      </c>
      <c r="I167" s="139">
        <f>100*((((I166)/(AH166))/(((B166)/(AA166))+((C166)/(AB166))+((D166)/(AC166))+((E166)/(AD166))+((F166)/(AE166))+((G166)/(AF166))+((H166)/(AG166))+((I166)/(AH166))+((J166)/(AI166))+((K166)/(AJ166))+((L166)/(AK166))+((M166)/(AL166))+((N166)/(AM166))+((O166)/(AN166))+((P166)/(AO166))+((Q166)/(AP166))+((R166)/(AQ166))+((S166)/(AR166))+((T166)/(AS166))+((U166)/(AT166))+((V166)/(AU166))+((W166)/(AV166))+((X166)/(AW166))+((Y166)/(AX166))+((Z166)/(AY166)))))</f>
        <v>4.6857800056758728E-2</v>
      </c>
      <c r="J167" s="139">
        <f>100*((((J166)/(AI166))/(((B166)/(AA166))+((C166)/(AB166))+((D166)/(AC166))+((E166)/(AD166))+((F166)/(AE166))+((G166)/(AF166))+((H166)/(AG166))+((I166)/(AH166))+((J166)/(AI166))+((K166)/(AJ166))+((L166)/(AK166))+((M166)/(AL166))+((N166)/(AM166))+((O166)/(AN166))+((P166)/(AO166))+((Q166)/(AP166))+((R166)/(AQ166))+((S166)/(AR166))+((T166)/(AS166))+((U166)/(AT166))+((V166)/(AU166))+((W166)/(AV166))+((X166)/(AW166))+((Y166)/(AX166))+((Z166)/(AY166)))))</f>
        <v>0</v>
      </c>
      <c r="K167" s="139">
        <f>100*((((K166)/(AJ166))/(((B166)/(AA166))+((C166)/(AB166))+((D166)/(AC166))+((E166)/(AD166))+((F166)/(AE166))+((G166)/(AF166))+((H166)/(AG166))+((I166)/(AH166))+((J166)/(AI166))+((K166)/(AJ166))+((L166)/(AK166))+((M166)/(AL166))+((N166)/(AM166))+((O166)/(AN166))+((P166)/(AO166))+((Q166)/(AP166))+((R166)/(AQ166))+((S166)/(AR166))+((T166)/(AS166))+((U166)/(AT166))+((V166)/(AU166))+((W166)/(AV166))+((X166)/(AW166))+((Y166)/(AX166))+((Z166)/(AY166)))))</f>
        <v>0</v>
      </c>
      <c r="L167" s="139">
        <f>100*((((L166)/(AK166))/(((B166)/(AA166))+((C166)/(AB166))+((D166)/(AC166))+((E166)/(AD166))+((F166)/(AE166))+((G166)/(AF166))+((H166)/(AG166))+((I166)/(AH166))+((J166)/(AI166))+((K166)/(AJ166))+((L166)/(AK166))+((M166)/(AL166))+((N166)/(AM166))+((O166)/(AN166))+((P166)/(AO166))+((Q166)/(AP166))+((R166)/(AQ166))+((S166)/(AR166))+((T166)/(AS166))+((U166)/(AT166))+((V166)/(AU166))+((W166)/(AV166))+((X166)/(AW166))+((Y166)/(AX166))+((Z166)/(AY166)))))</f>
        <v>0.911630174298384</v>
      </c>
      <c r="M167" s="139">
        <f>100*((((M166)/(AL166))/(((B166)/(AA166))+((C166)/(AB166))+((D166)/(AC166))+((E166)/(AD166))+((F166)/(AE166))+((G166)/(AF166))+((H166)/(AG166))+((I166)/(AH166))+((J166)/(AI166))+((K166)/(AJ166))+((L166)/(AK166))+((M166)/(AL166))+((N166)/(AM166))+((O166)/(AN166))+((P166)/(AO166))+((Q166)/(AP166))+((R166)/(AQ166))+((S166)/(AR166))+((T166)/(AS166))+((U166)/(AT166))+((V166)/(AU166))+((W166)/(AV166))+((X166)/(AW166))+((Y166)/(AX166))+((Z166)/(AY166)))))</f>
        <v>0</v>
      </c>
      <c r="N167" s="139">
        <f>100*((((N166)/(AM166))/(((B166)/(AA166))+((C166)/(AB166))+((D166)/(AC166))+((E166)/(AD166))+((F166)/(AE166))+((G166)/(AF166))+((H166)/(AG166))+((I166)/(AH166))+((J166)/(AI166))+((K166)/(AJ166))+((L166)/(AK166))+((M166)/(AL166))+((N166)/(AM166))+((O166)/(AN166))+((P166)/(AO166))+((Q166)/(AP166))+((R166)/(AQ166))+((S166)/(AR166))+((T166)/(AS166))+((U166)/(AT166))+((V166)/(AU166))+((W166)/(AV166))+((X166)/(AW166))+((Y166)/(AX166))+((Z166)/(AY166)))))</f>
        <v>12.040128641218352</v>
      </c>
      <c r="O167" s="139">
        <f>100*((((O166)/(AN166))/(((B166)/(AA166))+((C166)/(AB166))+((D166)/(AC166))+((E166)/(AD166))+((F166)/(AE166))+((G166)/(AF166))+((H166)/(AG166))+((I166)/(AH166))+((J166)/(AI166))+((K166)/(AJ166))+((L166)/(AK166))+((M166)/(AL166))+((N166)/(AM166))+((O166)/(AN166))+((P166)/(AO166))+((Q166)/(AP166))+((R166)/(AQ166))+((S166)/(AR166))+((T166)/(AS166))+((U166)/(AT166))+((V166)/(AU166))+((W166)/(AV166))+((X166)/(AW166))+((Y166)/(AX166))+((Z166)/(AY166)))))</f>
        <v>0.78295745639393877</v>
      </c>
      <c r="P167" s="139">
        <f>100*((((P166)/(AO166))/(((B166)/(AA166))+((C166)/(AB166))+((D166)/(AC166))+((E166)/(AD166))+((F166)/(AE166))+((G166)/(AF166))+((H166)/(AG166))+((I166)/(AH166))+((J166)/(AI166))+((K166)/(AJ166))+((L166)/(AK166))+((M166)/(AL166))+((N166)/(AM166))+((O166)/(AN166))+((P166)/(AO166))+((Q166)/(AP166))+((R166)/(AQ166))+((S166)/(AR166))+((T166)/(AS166))+((U166)/(AT166))+((V166)/(AU166))+((W166)/(AV166))+((X166)/(AW166))+((Y166)/(AX166))+((Z166)/(AY166)))))</f>
        <v>0</v>
      </c>
      <c r="Q167" s="139">
        <f>100*((((Q166)/(AP166))/(((B166)/(AA166))+((C166)/(AB166))+((D166)/(AC166))+((E166)/(AD166))+((F166)/(AE166))+((G166)/(AF166))+((H166)/(AG166))+((I166)/(AH166))+((J166)/(AI166))+((K166)/(AJ166))+((L166)/(AK166))+((M166)/(AL166))+((N166)/(AM166))+((O166)/(AN166))+((P166)/(AO166))+((Q166)/(AP166))+((R166)/(AQ166))+((S166)/(AR166))+((T166)/(AS166))+((U166)/(AT166))+((V166)/(AU166))+((W166)/(AV166))+((X166)/(AW166))+((Y166)/(AX166))+((Z166)/(AY166)))))</f>
        <v>0</v>
      </c>
      <c r="R167" s="139">
        <f>100*((((R166)/(AQ166))/(((B166)/(AA166))+((C166)/(AB166))+((D166)/(AC166))+((E166)/(AD166))+((F166)/(AE166))+((G166)/(AF166))+((H166)/(AG166))+((I166)/(AH166))+((J166)/(AI166))+((K166)/(AJ166))+((L166)/(AK166))+((M166)/(AL166))+((N166)/(AM166))+((O166)/(AN166))+((P166)/(AO166))+((Q166)/(AP166))+((R166)/(AQ166))+((S166)/(AR166))+((T166)/(AS166))+((U166)/(AT166))+((V166)/(AU166))+((W166)/(AV166))+((X166)/(AW166))+((Y166)/(AX166))+((Z166)/(AY166)))))</f>
        <v>0</v>
      </c>
      <c r="S167" s="139">
        <f>100*((((S166)/(AR166))/(((B166)/(AA166))+((C166)/(AB166))+((D166)/(AC166))+((E166)/(AD166))+((F166)/(AE166))+((G166)/(AF166))+((H166)/(AG166))+((I166)/(AH166))+((J166)/(AI166))+((K166)/(AJ166))+((L166)/(AK166))+((M166)/(AL166))+((N166)/(AM166))+((O166)/(AN166))+((P166)/(AO166))+((Q166)/(AP166))+((R166)/(AQ166))+((S166)/(AR166))+((T166)/(AS166))+((U166)/(AT166))+((V166)/(AU166))+((W166)/(AV166))+((X166)/(AW166))+((Y166)/(AX166))+((Z166)/(AY166)))))</f>
        <v>0</v>
      </c>
      <c r="T167" s="139">
        <f>100*((((T166)/(AS166))/(((B166)/(AA166))+((C166)/(AB166))+((D166)/(AC166))+((E166)/(AD166))+((F166)/(AE166))+((G166)/(AF166))+((H166)/(AG166))+((I166)/(AH166))+((J166)/(AI166))+((K166)/(AJ166))+((L166)/(AK166))+((M166)/(AL166))+((N166)/(AM166))+((O166)/(AN166))+((P166)/(AO166))+((Q166)/(AP166))+((R166)/(AQ166))+((S166)/(AR166))+((T166)/(AS166))+((U166)/(AT166))+((V166)/(AU166))+((W166)/(AV166))+((X166)/(AW166))+((Y166)/(AX166))+((Z166)/(AY166)))))</f>
        <v>0</v>
      </c>
      <c r="U167" s="139">
        <f>100*((((U166)/(AT166))/(((B166)/(AA166))+((C166)/(AB166))+((D166)/(AC166))+((E166)/(AD166))+((F166)/(AE166))+((G166)/(AF166))+((H166)/(AG166))+((I166)/(AH166))+((J166)/(AI166))+((K166)/(AJ166))+((L166)/(AK166))+((M166)/(AL166))+((N166)/(AM166))+((O166)/(AN166))+((P166)/(AO166))+((Q166)/(AP166))+((R166)/(AQ166))+((S166)/(AR166))+((T166)/(AS166))+((U166)/(AT166))+((V166)/(AU166))+((W166)/(AV166))+((X166)/(AW166))+((Y166)/(AX166))+((Z166)/(AY166)))))</f>
        <v>0</v>
      </c>
      <c r="V167" s="139">
        <f>100*((((V166)/(AU166))/(((B166)/(AA166))+((C166)/(AB166))+((D166)/(AC166))+((E166)/(AD166))+((F166)/(AE166))+((G166)/(AF166))+((H166)/(AG166))+((I166)/(AH166))+((J166)/(AI166))+((K166)/(AJ166))+((L166)/(AK166))+((M166)/(AL166))+((N166)/(AM166))+((O166)/(AN166))+((P166)/(AO166))+((Q166)/(AP166))+((R166)/(AQ166))+((S166)/(AR166))+((T166)/(AS166))+((U166)/(AT166))+((V166)/(AU166))+((W166)/(AV166))+((X166)/(AW166))+((Y166)/(AX166))+((Z166)/(AY166)))))</f>
        <v>0</v>
      </c>
      <c r="W167" s="139">
        <f>100*((((W166)/(AV166))/(((B166)/(AA166))+((C166)/(AB166))+((D166)/(AC166))+((E166)/(AD166))+((F166)/(AE166))+((G166)/(AF166))+((H166)/(AG166))+((I166)/(AH166))+((J166)/(AI166))+((K166)/(AJ166))+((L166)/(AK166))+((M166)/(AL166))+((N166)/(AM166))+((O166)/(AN166))+((P166)/(AO166))+((Q166)/(AP166))+((R166)/(AQ166))+((S166)/(AR166))+((T166)/(AS166))+((U166)/(AT166))+((V166)/(AU166))+((W166)/(AV166))+((X166)/(AW166))+((Y166)/(AX166))+((Z166)/(AY166)))))</f>
        <v>0</v>
      </c>
      <c r="X167" s="89">
        <f>100*((((X166)/(AW166))/(((B166)/(AA166))+((C166)/(AB166))+((D166)/(AC166))+((E166)/(AD166))+((F166)/(AE166))+((G166)/(AF166))+((H166)/(AG166))+((I166)/(AH166))+((J166)/(AI166))+((K166)/(AJ166))+((L166)/(AK166))+((M166)/(AL166))+((N166)/(AM166))+((O166)/(AN166))+((P166)/(AO166))+((Q166)/(AP166))+((R166)/(AQ166))+((S166)/(AR166))+((T166)/(AS166))+((U166)/(AT166))+((V166)/(AU166))+((W166)/(AV166))+((X166)/(AW166))+((Y166)/(AX166))+((Z166)/(AY166)))))</f>
        <v>0</v>
      </c>
      <c r="Y167" s="89">
        <f>100*((((Y166)/(AX166))/(((B166)/(AA166))+((C166)/(AB166))+((D166)/(AC166))+((E166)/(AD166))+((F166)/(AE166))+((G166)/(AF166))+((H166)/(AG166))+((I166)/(AH166))+((J166)/(AI166))+((K166)/(AJ166))+((L166)/(AK166))+((M166)/(AL166))+((N166)/(AM166))+((O166)/(AN166))+((P166)/(AO166))+((Q166)/(AP166))+((R166)/(AQ166))+((S166)/(AR166))+((T166)/(AS166))+((U166)/(AT166))+((V166)/(AU166))+((W166)/(AV166))+((X166)/(AW166))+((Y166)/(AX166))+((Z166)/(AY166)))))</f>
        <v>0</v>
      </c>
      <c r="Z167" s="89">
        <f>100*((((Z166)/(AY166))/(((B166)/(AA166))+((C166)/(AB166))+((D166)/(AC166))+((E166)/(AD166))+((F166)/(AE166))+((G166)/(AF166))+((H166)/(AG166))+((I166)/(AH166))+((J166)/(AI166))+((K166)/(AJ166))+((L166)/(AK166))+((M166)/(AL166))+((N166)/(AM166))+((O166)/(AN166))+((P166)/(AO166))+((Q166)/(AP166))+((R166)/(AQ166))+((S166)/(AR166))+((T166)/(AS166))+((U166)/(AT166))+((V166)/(AU166))+((W166)/(AV166))+((X166)/(AW166))+((Y166)/(AX166))+((Z166)/(AY166)))))</f>
        <v>0</v>
      </c>
      <c r="AA167" s="89"/>
      <c r="AB167" s="89"/>
      <c r="AC167" s="89"/>
      <c r="AD167" s="89"/>
      <c r="AE167" s="89"/>
      <c r="AF167" s="89"/>
      <c r="AG167" s="89"/>
      <c r="AH167" s="89"/>
      <c r="AI167" s="89"/>
      <c r="AJ167" s="89"/>
      <c r="AK167" s="89"/>
      <c r="AL167" s="89"/>
      <c r="AM167" s="89"/>
      <c r="AN167" s="89"/>
      <c r="AO167" s="89"/>
      <c r="AP167" s="89"/>
      <c r="AQ167" s="89"/>
      <c r="AR167" s="89"/>
      <c r="AS167" s="89"/>
      <c r="AT167" s="89"/>
      <c r="AU167" s="89"/>
      <c r="AV167" s="89"/>
      <c r="AW167" s="89"/>
      <c r="AX167" s="89"/>
      <c r="AY167" s="89"/>
      <c r="AZ167" s="89"/>
      <c r="BA167" s="89"/>
      <c r="BB167" s="89"/>
    </row>
    <row r="168" spans="1:54" ht="21" x14ac:dyDescent="0.35">
      <c r="A168" s="89">
        <f>599-B168</f>
        <v>175.54259894262321</v>
      </c>
      <c r="B168" s="89">
        <f>599*B167/100</f>
        <v>423.45740105737679</v>
      </c>
      <c r="C168" s="89">
        <f>599*C167/100</f>
        <v>17.090569296054998</v>
      </c>
      <c r="D168" s="89">
        <f t="shared" ref="D168:Z168" si="45">599*D167/100</f>
        <v>6.3890965589342317</v>
      </c>
      <c r="E168" s="89">
        <f t="shared" si="45"/>
        <v>2.8325770935484882</v>
      </c>
      <c r="F168" s="89">
        <f t="shared" si="45"/>
        <v>0</v>
      </c>
      <c r="G168" s="89">
        <f t="shared" si="45"/>
        <v>66.194449287340461</v>
      </c>
      <c r="H168" s="89">
        <f t="shared" si="45"/>
        <v>0.48427801566002926</v>
      </c>
      <c r="I168" s="89">
        <f t="shared" si="45"/>
        <v>0.2806782223399848</v>
      </c>
      <c r="J168" s="89">
        <f t="shared" si="45"/>
        <v>0</v>
      </c>
      <c r="K168" s="89">
        <f t="shared" si="45"/>
        <v>0</v>
      </c>
      <c r="L168" s="89">
        <f t="shared" si="45"/>
        <v>5.4606647440473202</v>
      </c>
      <c r="M168" s="89">
        <f t="shared" si="45"/>
        <v>0</v>
      </c>
      <c r="N168" s="89">
        <f t="shared" si="45"/>
        <v>72.120370560897925</v>
      </c>
      <c r="O168" s="89">
        <f t="shared" si="45"/>
        <v>4.689915163799693</v>
      </c>
      <c r="P168" s="89">
        <f t="shared" si="45"/>
        <v>0</v>
      </c>
      <c r="Q168" s="89">
        <f t="shared" si="45"/>
        <v>0</v>
      </c>
      <c r="R168" s="89">
        <f t="shared" si="45"/>
        <v>0</v>
      </c>
      <c r="S168" s="89">
        <f t="shared" si="45"/>
        <v>0</v>
      </c>
      <c r="T168" s="89">
        <f t="shared" si="45"/>
        <v>0</v>
      </c>
      <c r="U168" s="89">
        <f t="shared" si="45"/>
        <v>0</v>
      </c>
      <c r="V168" s="89">
        <f t="shared" si="45"/>
        <v>0</v>
      </c>
      <c r="W168" s="89">
        <f t="shared" si="45"/>
        <v>0</v>
      </c>
      <c r="X168" s="89">
        <f t="shared" si="45"/>
        <v>0</v>
      </c>
      <c r="Y168" s="89">
        <f t="shared" si="45"/>
        <v>0</v>
      </c>
      <c r="Z168" s="89">
        <f t="shared" si="45"/>
        <v>0</v>
      </c>
      <c r="AA168" s="89"/>
      <c r="AB168" s="89"/>
      <c r="AC168" s="89"/>
      <c r="AD168" s="89"/>
      <c r="AE168" s="89"/>
      <c r="AF168" s="89"/>
      <c r="AG168" s="89"/>
      <c r="AH168" s="89"/>
      <c r="AI168" s="89"/>
      <c r="AJ168" s="89"/>
      <c r="AK168" s="89"/>
      <c r="AL168" s="89"/>
      <c r="AM168" s="89"/>
      <c r="AN168" s="89"/>
      <c r="AO168" s="89"/>
      <c r="AP168" s="89"/>
      <c r="AQ168" s="89"/>
      <c r="AR168" s="89"/>
      <c r="AS168" s="89"/>
      <c r="AT168" s="89"/>
      <c r="AU168" s="89"/>
      <c r="AV168" s="89"/>
      <c r="AW168" s="89"/>
      <c r="AX168" s="89"/>
      <c r="AY168" s="89"/>
      <c r="AZ168" s="89"/>
      <c r="BA168" s="89"/>
      <c r="BB168" s="89"/>
    </row>
    <row r="169" spans="1:54" ht="21" x14ac:dyDescent="0.35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>
        <v>1</v>
      </c>
      <c r="R169" s="49">
        <f>Q169*100/599</f>
        <v>0.1669449081803005</v>
      </c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  <c r="AE169" s="89"/>
      <c r="AF169" s="89"/>
      <c r="AG169" s="89"/>
      <c r="AH169" s="89"/>
      <c r="AI169" s="89"/>
      <c r="AJ169" s="89"/>
      <c r="AK169" s="89"/>
      <c r="AL169" s="89"/>
      <c r="AM169" s="89"/>
      <c r="AN169" s="89"/>
      <c r="AO169" s="89"/>
      <c r="AP169" s="89"/>
      <c r="AQ169" s="89"/>
      <c r="AR169" s="89"/>
      <c r="AS169" s="89"/>
      <c r="AT169" s="89"/>
      <c r="AU169" s="89"/>
      <c r="AV169" s="89"/>
      <c r="AW169" s="89"/>
      <c r="AX169" s="89"/>
      <c r="AY169" s="89"/>
      <c r="AZ169" s="89"/>
      <c r="BA169" s="89"/>
      <c r="BB169" s="89"/>
    </row>
    <row r="170" spans="1:54" ht="21" x14ac:dyDescent="0.35">
      <c r="A170" s="89">
        <f>B170+C170+D170+E170+F170+G170+H170+I170+J170+K170+L170+M170+N170+O170+P170+Q170+R170+S170+T170+U170+V170+W170+X170+Y170+Z170</f>
        <v>179.13388981636061</v>
      </c>
      <c r="B170" s="89"/>
      <c r="C170" s="89">
        <v>18</v>
      </c>
      <c r="D170" s="89">
        <v>6</v>
      </c>
      <c r="E170" s="89">
        <v>3</v>
      </c>
      <c r="F170" s="89"/>
      <c r="G170" s="89">
        <v>66</v>
      </c>
      <c r="H170" s="89">
        <v>0.5</v>
      </c>
      <c r="I170" s="89">
        <v>0.3</v>
      </c>
      <c r="J170" s="89"/>
      <c r="K170" s="89"/>
      <c r="L170" s="89">
        <v>6</v>
      </c>
      <c r="M170" s="89"/>
      <c r="N170" s="89">
        <v>72</v>
      </c>
      <c r="O170" s="89">
        <v>5</v>
      </c>
      <c r="P170" s="89"/>
      <c r="Q170">
        <v>2</v>
      </c>
      <c r="R170" s="49">
        <f t="shared" ref="R170" si="46">Q170*100/599</f>
        <v>0.333889816360601</v>
      </c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  <c r="AE170" s="89"/>
      <c r="AF170" s="89"/>
      <c r="AG170" s="89"/>
      <c r="AH170" s="89"/>
      <c r="AI170" s="89"/>
      <c r="AJ170" s="89"/>
      <c r="AK170" s="89"/>
      <c r="AL170" s="89"/>
      <c r="AM170" s="89"/>
      <c r="AN170" s="89"/>
      <c r="AO170" s="89"/>
      <c r="AP170" s="89"/>
      <c r="AQ170" s="89"/>
      <c r="AR170" s="89"/>
      <c r="AS170" s="89"/>
      <c r="AT170" s="89"/>
      <c r="AU170" s="89"/>
      <c r="AV170" s="89"/>
      <c r="AW170" s="89"/>
      <c r="AX170" s="89"/>
      <c r="AY170" s="89"/>
      <c r="AZ170" s="89"/>
      <c r="BA170" s="89"/>
      <c r="BB170" s="89"/>
    </row>
    <row r="171" spans="1:54" ht="21" x14ac:dyDescent="0.35">
      <c r="A171" s="89" t="s">
        <v>218</v>
      </c>
      <c r="B171" s="89">
        <f>K168+O168+U168+Q168+L168+M168+P168+N168</f>
        <v>82.270950468744942</v>
      </c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>
        <v>3</v>
      </c>
      <c r="R171" s="49">
        <f>Q171*100/599</f>
        <v>0.5008347245409015</v>
      </c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  <c r="AJ171" s="89"/>
      <c r="AK171" s="89"/>
      <c r="AL171" s="89"/>
      <c r="AM171" s="89"/>
      <c r="AN171" s="89"/>
      <c r="AO171" s="89"/>
      <c r="AP171" s="89"/>
      <c r="AQ171" s="89"/>
      <c r="AR171" s="89"/>
      <c r="AS171" s="89"/>
      <c r="AT171" s="89"/>
      <c r="AU171" s="89"/>
      <c r="AV171" s="89"/>
      <c r="AW171" s="89"/>
      <c r="AX171" s="89"/>
      <c r="AY171" s="89"/>
      <c r="AZ171" s="89"/>
      <c r="BA171" s="89"/>
      <c r="BB171" s="89"/>
    </row>
    <row r="172" spans="1:54" ht="21" x14ac:dyDescent="0.35">
      <c r="A172" s="89" t="s">
        <v>237</v>
      </c>
      <c r="B172" s="89">
        <f>C168+D168+G168+H168+I168+J168+E168+F168</f>
        <v>93.271648473878201</v>
      </c>
      <c r="C172" s="89"/>
      <c r="D172" s="89"/>
      <c r="E172" s="89"/>
      <c r="F172" s="89"/>
      <c r="G172" s="89"/>
      <c r="H172" s="89"/>
      <c r="I172" s="89"/>
      <c r="J172" s="89"/>
      <c r="K172" s="89">
        <f>3-O170-U170</f>
        <v>-2</v>
      </c>
      <c r="L172" s="89"/>
      <c r="M172" s="89"/>
      <c r="N172" s="89"/>
      <c r="O172" s="89"/>
      <c r="P172" s="89"/>
      <c r="Q172">
        <v>4</v>
      </c>
      <c r="R172" s="49">
        <f t="shared" ref="R172:R173" si="47">Q172*100/599</f>
        <v>0.667779632721202</v>
      </c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  <c r="AE172" s="89"/>
      <c r="AF172" s="89"/>
      <c r="AG172" s="89"/>
      <c r="AH172" s="89"/>
      <c r="AI172" s="89"/>
      <c r="AJ172" s="89"/>
      <c r="AK172" s="89"/>
      <c r="AL172" s="89"/>
      <c r="AM172" s="89"/>
      <c r="AN172" s="89"/>
      <c r="AO172" s="89"/>
      <c r="AP172" s="89"/>
      <c r="AQ172" s="89"/>
      <c r="AR172" s="89"/>
      <c r="AS172" s="89"/>
      <c r="AT172" s="89"/>
      <c r="AU172" s="89"/>
      <c r="AV172" s="89"/>
      <c r="AW172" s="89"/>
      <c r="AX172" s="89"/>
      <c r="AY172" s="89"/>
      <c r="AZ172" s="89"/>
      <c r="BA172" s="89"/>
      <c r="BB172" s="89"/>
    </row>
    <row r="173" spans="1:54" ht="21" x14ac:dyDescent="0.35">
      <c r="A173" s="89"/>
      <c r="B173" s="179">
        <f>B171+B172</f>
        <v>175.54259894262316</v>
      </c>
      <c r="C173" s="272" t="s">
        <v>249</v>
      </c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>
        <v>5</v>
      </c>
      <c r="R173" s="49">
        <f t="shared" si="47"/>
        <v>0.8347245409015025</v>
      </c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  <c r="AE173" s="89"/>
      <c r="AF173" s="89"/>
      <c r="AG173" s="89"/>
      <c r="AH173" s="89"/>
      <c r="AI173" s="89"/>
      <c r="AJ173" s="89"/>
      <c r="AK173" s="89"/>
      <c r="AL173" s="89"/>
      <c r="AM173" s="89"/>
      <c r="AN173" s="89"/>
      <c r="AO173" s="89"/>
      <c r="AP173" s="89"/>
      <c r="AQ173" s="89"/>
      <c r="AR173" s="89"/>
      <c r="AS173" s="89"/>
      <c r="AT173" s="89"/>
      <c r="AU173" s="89"/>
      <c r="AV173" s="89"/>
      <c r="AW173" s="89"/>
      <c r="AX173" s="89"/>
      <c r="AY173" s="89"/>
      <c r="AZ173" s="89"/>
      <c r="BA173" s="89"/>
      <c r="BB173" s="89"/>
    </row>
    <row r="174" spans="1:54" ht="21" x14ac:dyDescent="0.35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  <c r="AN174" s="89"/>
      <c r="AO174" s="89"/>
      <c r="AP174" s="89"/>
      <c r="AQ174" s="89"/>
      <c r="AR174" s="89"/>
      <c r="AS174" s="89"/>
      <c r="AT174" s="89"/>
      <c r="AU174" s="89"/>
      <c r="AV174" s="89"/>
      <c r="AW174" s="89"/>
      <c r="AX174" s="89"/>
      <c r="AY174" s="89"/>
      <c r="AZ174" s="89"/>
      <c r="BA174" s="89"/>
      <c r="BB174" s="89"/>
    </row>
    <row r="175" spans="1:54" ht="28.5" x14ac:dyDescent="0.45">
      <c r="A175" s="271" t="s">
        <v>252</v>
      </c>
      <c r="B175" s="266" t="s">
        <v>14</v>
      </c>
      <c r="C175" s="266" t="s">
        <v>15</v>
      </c>
      <c r="D175" s="266" t="s">
        <v>8</v>
      </c>
      <c r="E175" s="266" t="s">
        <v>9</v>
      </c>
      <c r="F175" s="266" t="s">
        <v>234</v>
      </c>
      <c r="G175" s="266" t="s">
        <v>56</v>
      </c>
      <c r="H175" s="266" t="s">
        <v>57</v>
      </c>
      <c r="I175" s="266" t="s">
        <v>58</v>
      </c>
      <c r="J175" s="266" t="s">
        <v>77</v>
      </c>
      <c r="K175" s="267" t="s">
        <v>204</v>
      </c>
      <c r="L175" s="266" t="s">
        <v>16</v>
      </c>
      <c r="M175" s="266" t="s">
        <v>13</v>
      </c>
      <c r="N175" s="266" t="s">
        <v>44</v>
      </c>
      <c r="O175" s="266" t="s">
        <v>55</v>
      </c>
      <c r="P175" s="266" t="s">
        <v>17</v>
      </c>
      <c r="Q175" s="266" t="s">
        <v>80</v>
      </c>
      <c r="R175" s="266" t="s">
        <v>81</v>
      </c>
      <c r="S175" s="266" t="s">
        <v>82</v>
      </c>
      <c r="T175" s="266" t="s">
        <v>83</v>
      </c>
      <c r="U175" s="266" t="s">
        <v>45</v>
      </c>
      <c r="V175" s="266" t="s">
        <v>43</v>
      </c>
      <c r="W175" s="266" t="s">
        <v>12</v>
      </c>
      <c r="X175" s="266" t="s">
        <v>0</v>
      </c>
      <c r="Y175" s="266" t="s">
        <v>11</v>
      </c>
      <c r="Z175" s="266" t="s">
        <v>10</v>
      </c>
      <c r="AA175" s="266" t="s">
        <v>14</v>
      </c>
      <c r="AB175" s="266" t="s">
        <v>15</v>
      </c>
      <c r="AC175" s="266" t="s">
        <v>8</v>
      </c>
      <c r="AD175" s="266" t="s">
        <v>9</v>
      </c>
      <c r="AE175" s="266" t="s">
        <v>234</v>
      </c>
      <c r="AF175" s="266" t="s">
        <v>56</v>
      </c>
      <c r="AG175" s="266" t="s">
        <v>57</v>
      </c>
      <c r="AH175" s="266" t="s">
        <v>58</v>
      </c>
      <c r="AI175" s="266" t="s">
        <v>77</v>
      </c>
      <c r="AJ175" s="267" t="s">
        <v>204</v>
      </c>
      <c r="AK175" s="266" t="s">
        <v>16</v>
      </c>
      <c r="AL175" s="266" t="s">
        <v>13</v>
      </c>
      <c r="AM175" s="266" t="s">
        <v>44</v>
      </c>
      <c r="AN175" s="266" t="s">
        <v>55</v>
      </c>
      <c r="AO175" s="266" t="s">
        <v>17</v>
      </c>
      <c r="AP175" s="266" t="s">
        <v>80</v>
      </c>
      <c r="AQ175" s="266" t="s">
        <v>81</v>
      </c>
      <c r="AR175" s="266" t="s">
        <v>82</v>
      </c>
      <c r="AS175" s="266" t="s">
        <v>83</v>
      </c>
      <c r="AT175" s="266" t="s">
        <v>45</v>
      </c>
      <c r="AU175" s="266" t="s">
        <v>43</v>
      </c>
      <c r="AV175" s="266" t="s">
        <v>12</v>
      </c>
      <c r="AW175" s="266" t="s">
        <v>0</v>
      </c>
      <c r="AX175" s="266" t="s">
        <v>11</v>
      </c>
      <c r="AY175" s="266" t="s">
        <v>10</v>
      </c>
      <c r="AZ175" s="89"/>
      <c r="BA175" s="89"/>
      <c r="BB175" s="89"/>
    </row>
    <row r="176" spans="1:54" ht="21" x14ac:dyDescent="0.35">
      <c r="A176" s="273" t="s">
        <v>251</v>
      </c>
      <c r="B176" s="139">
        <f>100-C176-D176-E176-F176-G176-H176-I176-J176-K176-L176-M176-N176-O176-P176-Q176-R176-S176-T176-U176-V176-W176-X176-Y176-Z176</f>
        <v>76.11</v>
      </c>
      <c r="C176" s="177">
        <v>1.5</v>
      </c>
      <c r="D176" s="177">
        <v>2.5</v>
      </c>
      <c r="E176" s="177">
        <v>13</v>
      </c>
      <c r="F176" s="177">
        <v>0.25</v>
      </c>
      <c r="G176" s="177">
        <v>0.04</v>
      </c>
      <c r="H176" s="177"/>
      <c r="I176" s="177"/>
      <c r="J176" s="177"/>
      <c r="K176" s="177">
        <v>6.5</v>
      </c>
      <c r="L176" s="177"/>
      <c r="M176" s="177">
        <v>0.1</v>
      </c>
      <c r="N176" s="177"/>
      <c r="O176" s="177"/>
      <c r="P176" s="177"/>
      <c r="Q176" s="177"/>
      <c r="R176" s="177"/>
      <c r="S176" s="177"/>
      <c r="T176" s="177"/>
      <c r="U176" s="177"/>
      <c r="V176" s="177"/>
      <c r="W176" s="177"/>
      <c r="X176" s="177"/>
      <c r="Y176" s="177"/>
      <c r="Z176" s="177"/>
      <c r="AA176" s="189">
        <v>55.84</v>
      </c>
      <c r="AB176" s="89">
        <v>28.0855</v>
      </c>
      <c r="AC176" s="89">
        <v>58.693399999999997</v>
      </c>
      <c r="AD176" s="89">
        <v>63.545999999999999</v>
      </c>
      <c r="AE176" s="89">
        <v>65.38</v>
      </c>
      <c r="AF176" s="89">
        <v>12.01</v>
      </c>
      <c r="AG176" s="89">
        <v>30.973762000000001</v>
      </c>
      <c r="AH176" s="89">
        <v>32.064999999999998</v>
      </c>
      <c r="AI176" s="89">
        <v>14.0067</v>
      </c>
      <c r="AJ176" s="89">
        <v>10.81</v>
      </c>
      <c r="AK176" s="89">
        <v>54.938043999999998</v>
      </c>
      <c r="AL176" s="89">
        <v>24.305</v>
      </c>
      <c r="AM176" s="89">
        <v>51.996099999999998</v>
      </c>
      <c r="AN176" s="89">
        <v>95.95</v>
      </c>
      <c r="AO176" s="89">
        <v>47.866999999999997</v>
      </c>
      <c r="AP176" s="89">
        <v>50.941499999999998</v>
      </c>
      <c r="AQ176" s="89">
        <v>92.906369999999995</v>
      </c>
      <c r="AR176" s="89">
        <v>183.84</v>
      </c>
      <c r="AS176" s="89">
        <v>180.94788</v>
      </c>
      <c r="AT176" s="89">
        <v>91.224000000000004</v>
      </c>
      <c r="AU176" s="89">
        <v>58.933194999999998</v>
      </c>
      <c r="AV176" s="89">
        <v>26.981539999999999</v>
      </c>
      <c r="AW176" s="89">
        <v>121.76</v>
      </c>
      <c r="AX176" s="89">
        <v>207.2</v>
      </c>
      <c r="AY176" s="89">
        <v>118.71</v>
      </c>
      <c r="AZ176" s="89"/>
      <c r="BA176" s="89"/>
      <c r="BB176" s="89"/>
    </row>
    <row r="177" spans="1:54" ht="21" x14ac:dyDescent="0.35">
      <c r="A177" s="89" t="s">
        <v>241</v>
      </c>
      <c r="B177" s="139">
        <f>100*((((B176)/(AA176))/(((B176)/(AA176))+((C176)/(AB176))+((D176)/(AC176))+((E176)/(AD176))+((F176)/(AE176))+((G176)/(AF176))+((H176)/(AG176))+((I176)/(AH176))+((J176)/(AI176))+((K176)/(AJ176))+((L176)/(AK176))+((M176)/(AL176))+((N176)/(AM176))+((O176)/(AN176))+((P176)/(AO176))+((Q176)/(AP176))+((R176)/(AQ176))+((S176)/(AR176))+((T176)/(AS176))+((U176)/(AT176))+((V176)/(AU176))+((W176)/(AV176))+((X176)/(AW176))+((Y176)/(AX176))+((Z176)/(AY176)))))</f>
        <v>59.882037497125765</v>
      </c>
      <c r="C177" s="139">
        <f>100*((((C176)/(AB176))/(((B176)/(AA176))+((C176)/(AB176))+((D176)/(AC176))+((E176)/(AD176))+((F176)/(AE176))+((G176)/(AF176))+((H176)/(AG176))+((I176)/(AH176))+((J176)/(AI176))+((K176)/(AJ176))+((L176)/(AK176))+((M176)/(AL176))+((N176)/(AM176))+((O176)/(AN176))+((P176)/(AO176))+((Q176)/(AP176))+((R176)/(AQ176))+((S176)/(AR176))+((T176)/(AS176))+((U176)/(AT176))+((V176)/(AU176))+((W176)/(AV176))+((X176)/(AW176))+((Y176)/(AX176))+((Z176)/(AY176)))))</f>
        <v>2.3464394714466681</v>
      </c>
      <c r="D177" s="139">
        <f>100*((((D176)/(AC176))/(((B176)/(AA176))+((C176)/(AB176))+((D176)/(AC176))+((E176)/(AD176))+((F176)/(AE176))+((G176)/(AF176))+((H176)/(AG176))+((I176)/(AH176))+((J176)/(AI176))+((K176)/(AJ176))+((L176)/(AK176))+((M176)/(AL176))+((N176)/(AM176))+((O176)/(AN176))+((P176)/(AO176))+((Q176)/(AP176))+((R176)/(AQ176))+((S176)/(AR176))+((T176)/(AS176))+((U176)/(AT176))+((V176)/(AU176))+((W176)/(AV176))+((X176)/(AW176))+((Y176)/(AX176))+((Z176)/(AY176)))))</f>
        <v>1.8713326590756769</v>
      </c>
      <c r="E177" s="139">
        <f>100*((((E176)/(AD176))/(((B176)/(AA176))+((C176)/(AB176))+((D176)/(AC176))+((E176)/(AD176))+((F176)/(AE176))+((G176)/(AF176))+((H176)/(AG176))+((I176)/(AH176))+((J176)/(AI176))+((K176)/(AJ176))+((L176)/(AK176))+((M176)/(AL176))+((N176)/(AM176))+((O176)/(AN176))+((P176)/(AO176))+((Q176)/(AP176))+((R176)/(AQ176))+((S176)/(AR176))+((T176)/(AS176))+((U176)/(AT176))+((V176)/(AU176))+((W176)/(AV176))+((X176)/(AW176))+((Y176)/(AX176))+((Z176)/(AY176)))))</f>
        <v>8.9878411972335002</v>
      </c>
      <c r="F177" s="139">
        <f>100*((((F176)/(AE176))/(((B176)/(AA176))+((C176)/(AB176))+((D176)/(AC176))+((E176)/(AD176))+((F176)/(AE176))+((G176)/(AF176))+((H176)/(AG176))+((I176)/(AH176))+((J176)/(AI176))+((K176)/(AJ176))+((L176)/(AK176))+((M176)/(AL176))+((N176)/(AM176))+((O176)/(AN176))+((P176)/(AO176))+((Q176)/(AP176))+((R176)/(AQ176))+((S176)/(AR176))+((T176)/(AS176))+((U176)/(AT176))+((V176)/(AU176))+((W176)/(AV176))+((X176)/(AW176))+((Y176)/(AX176))+((Z176)/(AY176)))))</f>
        <v>0.16799461041938257</v>
      </c>
      <c r="G177" s="139">
        <f>100*((((G176)/(AF176))/(((B176)/(AA176))+((C176)/(AB176))+((D176)/(AC176))+((E176)/(AD176))+((F176)/(AE176))+((G176)/(AF176))+((H176)/(AG176))+((I176)/(AH176))+((J176)/(AI176))+((K176)/(AJ176))+((L176)/(AK176))+((M176)/(AL176))+((N176)/(AM176))+((O176)/(AN176))+((P176)/(AO176))+((Q176)/(AP176))+((R176)/(AQ176))+((S176)/(AR176))+((T176)/(AS176))+((U176)/(AT176))+((V176)/(AU176))+((W176)/(AV176))+((X176)/(AW176))+((Y176)/(AX176))+((Z176)/(AY176)))))</f>
        <v>0.14632456458576829</v>
      </c>
      <c r="H177" s="139">
        <f>100*((((H176)/(AG176))/(((B176)/(AA176))+((C176)/(AB176))+((D176)/(AC176))+((E176)/(AD176))+((F176)/(AE176))+((G176)/(AF176))+((H176)/(AG176))+((I176)/(AH176))+((J176)/(AI176))+((K176)/(AJ176))+((L176)/(AK176))+((M176)/(AL176))+((N176)/(AM176))+((O176)/(AN176))+((P176)/(AO176))+((Q176)/(AP176))+((R176)/(AQ176))+((S176)/(AR176))+((T176)/(AS176))+((U176)/(AT176))+((V176)/(AU176))+((W176)/(AV176))+((X176)/(AW176))+((Y176)/(AX176))+((Z176)/(AY176)))))</f>
        <v>0</v>
      </c>
      <c r="I177" s="139">
        <f>100*((((I176)/(AH176))/(((B176)/(AA176))+((C176)/(AB176))+((D176)/(AC176))+((E176)/(AD176))+((F176)/(AE176))+((G176)/(AF176))+((H176)/(AG176))+((I176)/(AH176))+((J176)/(AI176))+((K176)/(AJ176))+((L176)/(AK176))+((M176)/(AL176))+((N176)/(AM176))+((O176)/(AN176))+((P176)/(AO176))+((Q176)/(AP176))+((R176)/(AQ176))+((S176)/(AR176))+((T176)/(AS176))+((U176)/(AT176))+((V176)/(AU176))+((W176)/(AV176))+((X176)/(AW176))+((Y176)/(AX176))+((Z176)/(AY176)))))</f>
        <v>0</v>
      </c>
      <c r="J177" s="139">
        <f>100*((((J176)/(AI176))/(((B176)/(AA176))+((C176)/(AB176))+((D176)/(AC176))+((E176)/(AD176))+((F176)/(AE176))+((G176)/(AF176))+((H176)/(AG176))+((I176)/(AH176))+((J176)/(AI176))+((K176)/(AJ176))+((L176)/(AK176))+((M176)/(AL176))+((N176)/(AM176))+((O176)/(AN176))+((P176)/(AO176))+((Q176)/(AP176))+((R176)/(AQ176))+((S176)/(AR176))+((T176)/(AS176))+((U176)/(AT176))+((V176)/(AU176))+((W176)/(AV176))+((X176)/(AW176))+((Y176)/(AX176))+((Z176)/(AY176)))))</f>
        <v>0</v>
      </c>
      <c r="K177" s="139">
        <f>100*((((K176)/(AJ176))/(((B176)/(AA176))+((C176)/(AB176))+((D176)/(AC176))+((E176)/(AD176))+((F176)/(AE176))+((G176)/(AF176))+((H176)/(AG176))+((I176)/(AH176))+((J176)/(AI176))+((K176)/(AJ176))+((L176)/(AK176))+((M176)/(AL176))+((N176)/(AM176))+((O176)/(AN176))+((P176)/(AO176))+((Q176)/(AP176))+((R176)/(AQ176))+((S176)/(AR176))+((T176)/(AS176))+((U176)/(AT176))+((V176)/(AU176))+((W176)/(AV176))+((X176)/(AW176))+((Y176)/(AX176))+((Z176)/(AY176)))))</f>
        <v>26.41726904345051</v>
      </c>
      <c r="L177" s="139">
        <f>100*((((L176)/(AK176))/(((B176)/(AA176))+((C176)/(AB176))+((D176)/(AC176))+((E176)/(AD176))+((F176)/(AE176))+((G176)/(AF176))+((H176)/(AG176))+((I176)/(AH176))+((J176)/(AI176))+((K176)/(AJ176))+((L176)/(AK176))+((M176)/(AL176))+((N176)/(AM176))+((O176)/(AN176))+((P176)/(AO176))+((Q176)/(AP176))+((R176)/(AQ176))+((S176)/(AR176))+((T176)/(AS176))+((U176)/(AT176))+((V176)/(AU176))+((W176)/(AV176))+((X176)/(AW176))+((Y176)/(AX176))+((Z176)/(AY176)))))</f>
        <v>0</v>
      </c>
      <c r="M177" s="139">
        <f>100*((((M176)/(AL176))/(((B176)/(AA176))+((C176)/(AB176))+((D176)/(AC176))+((E176)/(AD176))+((F176)/(AE176))+((G176)/(AF176))+((H176)/(AG176))+((I176)/(AH176))+((J176)/(AI176))+((K176)/(AJ176))+((L176)/(AK176))+((M176)/(AL176))+((N176)/(AM176))+((O176)/(AN176))+((P176)/(AO176))+((Q176)/(AP176))+((R176)/(AQ176))+((S176)/(AR176))+((T176)/(AS176))+((U176)/(AT176))+((V176)/(AU176))+((W176)/(AV176))+((X176)/(AW176))+((Y176)/(AX176))+((Z176)/(AY176)))))</f>
        <v>0.18076095666273168</v>
      </c>
      <c r="N177" s="139">
        <f>100*((((N176)/(AM176))/(((B176)/(AA176))+((C176)/(AB176))+((D176)/(AC176))+((E176)/(AD176))+((F176)/(AE176))+((G176)/(AF176))+((H176)/(AG176))+((I176)/(AH176))+((J176)/(AI176))+((K176)/(AJ176))+((L176)/(AK176))+((M176)/(AL176))+((N176)/(AM176))+((O176)/(AN176))+((P176)/(AO176))+((Q176)/(AP176))+((R176)/(AQ176))+((S176)/(AR176))+((T176)/(AS176))+((U176)/(AT176))+((V176)/(AU176))+((W176)/(AV176))+((X176)/(AW176))+((Y176)/(AX176))+((Z176)/(AY176)))))</f>
        <v>0</v>
      </c>
      <c r="O177" s="139">
        <f>100*((((O176)/(AN176))/(((B176)/(AA176))+((C176)/(AB176))+((D176)/(AC176))+((E176)/(AD176))+((F176)/(AE176))+((G176)/(AF176))+((H176)/(AG176))+((I176)/(AH176))+((J176)/(AI176))+((K176)/(AJ176))+((L176)/(AK176))+((M176)/(AL176))+((N176)/(AM176))+((O176)/(AN176))+((P176)/(AO176))+((Q176)/(AP176))+((R176)/(AQ176))+((S176)/(AR176))+((T176)/(AS176))+((U176)/(AT176))+((V176)/(AU176))+((W176)/(AV176))+((X176)/(AW176))+((Y176)/(AX176))+((Z176)/(AY176)))))</f>
        <v>0</v>
      </c>
      <c r="P177" s="139">
        <f>100*((((P176)/(AO176))/(((B176)/(AA176))+((C176)/(AB176))+((D176)/(AC176))+((E176)/(AD176))+((F176)/(AE176))+((G176)/(AF176))+((H176)/(AG176))+((I176)/(AH176))+((J176)/(AI176))+((K176)/(AJ176))+((L176)/(AK176))+((M176)/(AL176))+((N176)/(AM176))+((O176)/(AN176))+((P176)/(AO176))+((Q176)/(AP176))+((R176)/(AQ176))+((S176)/(AR176))+((T176)/(AS176))+((U176)/(AT176))+((V176)/(AU176))+((W176)/(AV176))+((X176)/(AW176))+((Y176)/(AX176))+((Z176)/(AY176)))))</f>
        <v>0</v>
      </c>
      <c r="Q177" s="139">
        <f>100*((((Q176)/(AP176))/(((B176)/(AA176))+((C176)/(AB176))+((D176)/(AC176))+((E176)/(AD176))+((F176)/(AE176))+((G176)/(AF176))+((H176)/(AG176))+((I176)/(AH176))+((J176)/(AI176))+((K176)/(AJ176))+((L176)/(AK176))+((M176)/(AL176))+((N176)/(AM176))+((O176)/(AN176))+((P176)/(AO176))+((Q176)/(AP176))+((R176)/(AQ176))+((S176)/(AR176))+((T176)/(AS176))+((U176)/(AT176))+((V176)/(AU176))+((W176)/(AV176))+((X176)/(AW176))+((Y176)/(AX176))+((Z176)/(AY176)))))</f>
        <v>0</v>
      </c>
      <c r="R177" s="139">
        <f>100*((((R176)/(AQ176))/(((B176)/(AA176))+((C176)/(AB176))+((D176)/(AC176))+((E176)/(AD176))+((F176)/(AE176))+((G176)/(AF176))+((H176)/(AG176))+((I176)/(AH176))+((J176)/(AI176))+((K176)/(AJ176))+((L176)/(AK176))+((M176)/(AL176))+((N176)/(AM176))+((O176)/(AN176))+((P176)/(AO176))+((Q176)/(AP176))+((R176)/(AQ176))+((S176)/(AR176))+((T176)/(AS176))+((U176)/(AT176))+((V176)/(AU176))+((W176)/(AV176))+((X176)/(AW176))+((Y176)/(AX176))+((Z176)/(AY176)))))</f>
        <v>0</v>
      </c>
      <c r="S177" s="139">
        <f>100*((((S176)/(AR176))/(((B176)/(AA176))+((C176)/(AB176))+((D176)/(AC176))+((E176)/(AD176))+((F176)/(AE176))+((G176)/(AF176))+((H176)/(AG176))+((I176)/(AH176))+((J176)/(AI176))+((K176)/(AJ176))+((L176)/(AK176))+((M176)/(AL176))+((N176)/(AM176))+((O176)/(AN176))+((P176)/(AO176))+((Q176)/(AP176))+((R176)/(AQ176))+((S176)/(AR176))+((T176)/(AS176))+((U176)/(AT176))+((V176)/(AU176))+((W176)/(AV176))+((X176)/(AW176))+((Y176)/(AX176))+((Z176)/(AY176)))))</f>
        <v>0</v>
      </c>
      <c r="T177" s="139">
        <f>100*((((T176)/(AS176))/(((B176)/(AA176))+((C176)/(AB176))+((D176)/(AC176))+((E176)/(AD176))+((F176)/(AE176))+((G176)/(AF176))+((H176)/(AG176))+((I176)/(AH176))+((J176)/(AI176))+((K176)/(AJ176))+((L176)/(AK176))+((M176)/(AL176))+((N176)/(AM176))+((O176)/(AN176))+((P176)/(AO176))+((Q176)/(AP176))+((R176)/(AQ176))+((S176)/(AR176))+((T176)/(AS176))+((U176)/(AT176))+((V176)/(AU176))+((W176)/(AV176))+((X176)/(AW176))+((Y176)/(AX176))+((Z176)/(AY176)))))</f>
        <v>0</v>
      </c>
      <c r="U177" s="139">
        <f>100*((((U176)/(AT176))/(((B176)/(AA176))+((C176)/(AB176))+((D176)/(AC176))+((E176)/(AD176))+((F176)/(AE176))+((G176)/(AF176))+((H176)/(AG176))+((I176)/(AH176))+((J176)/(AI176))+((K176)/(AJ176))+((L176)/(AK176))+((M176)/(AL176))+((N176)/(AM176))+((O176)/(AN176))+((P176)/(AO176))+((Q176)/(AP176))+((R176)/(AQ176))+((S176)/(AR176))+((T176)/(AS176))+((U176)/(AT176))+((V176)/(AU176))+((W176)/(AV176))+((X176)/(AW176))+((Y176)/(AX176))+((Z176)/(AY176)))))</f>
        <v>0</v>
      </c>
      <c r="V177" s="139">
        <f>100*((((V176)/(AU176))/(((B176)/(AA176))+((C176)/(AB176))+((D176)/(AC176))+((E176)/(AD176))+((F176)/(AE176))+((G176)/(AF176))+((H176)/(AG176))+((I176)/(AH176))+((J176)/(AI176))+((K176)/(AJ176))+((L176)/(AK176))+((M176)/(AL176))+((N176)/(AM176))+((O176)/(AN176))+((P176)/(AO176))+((Q176)/(AP176))+((R176)/(AQ176))+((S176)/(AR176))+((T176)/(AS176))+((U176)/(AT176))+((V176)/(AU176))+((W176)/(AV176))+((X176)/(AW176))+((Y176)/(AX176))+((Z176)/(AY176)))))</f>
        <v>0</v>
      </c>
      <c r="W177" s="139">
        <f>100*((((W176)/(AV176))/(((B176)/(AA176))+((C176)/(AB176))+((D176)/(AC176))+((E176)/(AD176))+((F176)/(AE176))+((G176)/(AF176))+((H176)/(AG176))+((I176)/(AH176))+((J176)/(AI176))+((K176)/(AJ176))+((L176)/(AK176))+((M176)/(AL176))+((N176)/(AM176))+((O176)/(AN176))+((P176)/(AO176))+((Q176)/(AP176))+((R176)/(AQ176))+((S176)/(AR176))+((T176)/(AS176))+((U176)/(AT176))+((V176)/(AU176))+((W176)/(AV176))+((X176)/(AW176))+((Y176)/(AX176))+((Z176)/(AY176)))))</f>
        <v>0</v>
      </c>
      <c r="X177" s="89">
        <f>100*((((X176)/(AW176))/(((B176)/(AA176))+((C176)/(AB176))+((D176)/(AC176))+((E176)/(AD176))+((F176)/(AE176))+((G176)/(AF176))+((H176)/(AG176))+((I176)/(AH176))+((J176)/(AI176))+((K176)/(AJ176))+((L176)/(AK176))+((M176)/(AL176))+((N176)/(AM176))+((O176)/(AN176))+((P176)/(AO176))+((Q176)/(AP176))+((R176)/(AQ176))+((S176)/(AR176))+((T176)/(AS176))+((U176)/(AT176))+((V176)/(AU176))+((W176)/(AV176))+((X176)/(AW176))+((Y176)/(AX176))+((Z176)/(AY176)))))</f>
        <v>0</v>
      </c>
      <c r="Y177" s="89">
        <f>100*((((Y176)/(AX176))/(((B176)/(AA176))+((C176)/(AB176))+((D176)/(AC176))+((E176)/(AD176))+((F176)/(AE176))+((G176)/(AF176))+((H176)/(AG176))+((I176)/(AH176))+((J176)/(AI176))+((K176)/(AJ176))+((L176)/(AK176))+((M176)/(AL176))+((N176)/(AM176))+((O176)/(AN176))+((P176)/(AO176))+((Q176)/(AP176))+((R176)/(AQ176))+((S176)/(AR176))+((T176)/(AS176))+((U176)/(AT176))+((V176)/(AU176))+((W176)/(AV176))+((X176)/(AW176))+((Y176)/(AX176))+((Z176)/(AY176)))))</f>
        <v>0</v>
      </c>
      <c r="Z177" s="89">
        <f>100*((((Z176)/(AY176))/(((B176)/(AA176))+((C176)/(AB176))+((D176)/(AC176))+((E176)/(AD176))+((F176)/(AE176))+((G176)/(AF176))+((H176)/(AG176))+((I176)/(AH176))+((J176)/(AI176))+((K176)/(AJ176))+((L176)/(AK176))+((M176)/(AL176))+((N176)/(AM176))+((O176)/(AN176))+((P176)/(AO176))+((Q176)/(AP176))+((R176)/(AQ176))+((S176)/(AR176))+((T176)/(AS176))+((U176)/(AT176))+((V176)/(AU176))+((W176)/(AV176))+((X176)/(AW176))+((Y176)/(AX176))+((Z176)/(AY176)))))</f>
        <v>0</v>
      </c>
      <c r="AA177" s="89"/>
      <c r="AB177" s="89"/>
      <c r="AC177" s="89"/>
      <c r="AD177" s="89"/>
      <c r="AE177" s="89"/>
      <c r="AF177" s="89"/>
      <c r="AG177" s="89"/>
      <c r="AH177" s="89"/>
      <c r="AI177" s="89"/>
      <c r="AJ177" s="89"/>
      <c r="AK177" s="89"/>
      <c r="AL177" s="89"/>
      <c r="AM177" s="89"/>
      <c r="AN177" s="89"/>
      <c r="AO177" s="89"/>
      <c r="AP177" s="89"/>
      <c r="AQ177" s="89"/>
      <c r="AR177" s="89"/>
      <c r="AS177" s="89"/>
      <c r="AT177" s="89"/>
      <c r="AU177" s="89"/>
      <c r="AV177" s="89"/>
      <c r="AW177" s="89"/>
      <c r="AX177" s="89"/>
      <c r="AY177" s="89"/>
      <c r="AZ177" s="89"/>
      <c r="BA177" s="89"/>
      <c r="BB177" s="89"/>
    </row>
    <row r="178" spans="1:54" ht="21" x14ac:dyDescent="0.35">
      <c r="A178" s="89">
        <f>599-B178</f>
        <v>240.30659539221671</v>
      </c>
      <c r="B178" s="89">
        <f>599*B177/100</f>
        <v>358.69340460778329</v>
      </c>
      <c r="C178" s="89">
        <f>599*C177/100</f>
        <v>14.055172433965543</v>
      </c>
      <c r="D178" s="89">
        <f t="shared" ref="D178:Z178" si="48">599*D177/100</f>
        <v>11.209282627863304</v>
      </c>
      <c r="E178" s="89">
        <f t="shared" si="48"/>
        <v>53.837168771428672</v>
      </c>
      <c r="F178" s="89">
        <f t="shared" si="48"/>
        <v>1.0062877164121016</v>
      </c>
      <c r="G178" s="89">
        <f t="shared" si="48"/>
        <v>0.87648414186875201</v>
      </c>
      <c r="H178" s="89">
        <f t="shared" si="48"/>
        <v>0</v>
      </c>
      <c r="I178" s="89">
        <f t="shared" si="48"/>
        <v>0</v>
      </c>
      <c r="J178" s="89">
        <f t="shared" si="48"/>
        <v>0</v>
      </c>
      <c r="K178" s="89">
        <f t="shared" si="48"/>
        <v>158.23944157026855</v>
      </c>
      <c r="L178" s="89">
        <f t="shared" si="48"/>
        <v>0</v>
      </c>
      <c r="M178" s="89">
        <f t="shared" si="48"/>
        <v>1.0827581304097627</v>
      </c>
      <c r="N178" s="89">
        <f t="shared" si="48"/>
        <v>0</v>
      </c>
      <c r="O178" s="89">
        <f t="shared" si="48"/>
        <v>0</v>
      </c>
      <c r="P178" s="89">
        <f t="shared" si="48"/>
        <v>0</v>
      </c>
      <c r="Q178" s="89">
        <f t="shared" si="48"/>
        <v>0</v>
      </c>
      <c r="R178" s="89">
        <f t="shared" si="48"/>
        <v>0</v>
      </c>
      <c r="S178" s="89">
        <f t="shared" si="48"/>
        <v>0</v>
      </c>
      <c r="T178" s="89">
        <f t="shared" si="48"/>
        <v>0</v>
      </c>
      <c r="U178" s="89">
        <f t="shared" si="48"/>
        <v>0</v>
      </c>
      <c r="V178" s="89">
        <f t="shared" si="48"/>
        <v>0</v>
      </c>
      <c r="W178" s="89">
        <f t="shared" si="48"/>
        <v>0</v>
      </c>
      <c r="X178" s="89">
        <f t="shared" si="48"/>
        <v>0</v>
      </c>
      <c r="Y178" s="89">
        <f t="shared" si="48"/>
        <v>0</v>
      </c>
      <c r="Z178" s="89">
        <f t="shared" si="48"/>
        <v>0</v>
      </c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  <c r="AK178" s="89"/>
      <c r="AL178" s="89"/>
      <c r="AM178" s="89"/>
      <c r="AN178" s="89"/>
      <c r="AO178" s="89"/>
      <c r="AP178" s="89"/>
      <c r="AQ178" s="89"/>
      <c r="AR178" s="89"/>
      <c r="AS178" s="89"/>
      <c r="AT178" s="89"/>
      <c r="AU178" s="89"/>
      <c r="AV178" s="89"/>
      <c r="AW178" s="89"/>
      <c r="AX178" s="89"/>
      <c r="AY178" s="89"/>
      <c r="AZ178" s="89"/>
      <c r="BA178" s="89"/>
      <c r="BB178" s="89"/>
    </row>
    <row r="179" spans="1:54" ht="21" x14ac:dyDescent="0.35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>
        <v>1</v>
      </c>
      <c r="R179" s="49">
        <f>Q179*100/599</f>
        <v>0.1669449081803005</v>
      </c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  <c r="AI179" s="89"/>
      <c r="AJ179" s="89"/>
      <c r="AK179" s="89"/>
      <c r="AL179" s="89"/>
      <c r="AM179" s="89"/>
      <c r="AN179" s="89"/>
      <c r="AO179" s="89"/>
      <c r="AP179" s="89"/>
      <c r="AQ179" s="89"/>
      <c r="AR179" s="89"/>
      <c r="AS179" s="89"/>
      <c r="AT179" s="89"/>
      <c r="AU179" s="89"/>
      <c r="AV179" s="89"/>
      <c r="AW179" s="89"/>
      <c r="AX179" s="89"/>
      <c r="AY179" s="89"/>
      <c r="AZ179" s="89"/>
      <c r="BA179" s="89"/>
      <c r="BB179" s="89"/>
    </row>
    <row r="180" spans="1:54" ht="21" x14ac:dyDescent="0.35">
      <c r="A180" s="89">
        <f>B180+C180+D180+E180+F180+G180+H180+I180+J180+K180+L180+M180+N180+O180+P180+Q180+R180+S180+T180+U180+V180+W180+X180+Y180+Z180</f>
        <v>3.7108898163606008</v>
      </c>
      <c r="B180" s="89"/>
      <c r="C180" s="89">
        <v>0.13900000000000001</v>
      </c>
      <c r="D180" s="89">
        <v>3.7999999999999999E-2</v>
      </c>
      <c r="E180" s="89"/>
      <c r="F180" s="89"/>
      <c r="G180" s="89">
        <v>0.1</v>
      </c>
      <c r="H180" s="89">
        <v>0.1</v>
      </c>
      <c r="I180" s="89">
        <f>I178</f>
        <v>0</v>
      </c>
      <c r="J180" s="89"/>
      <c r="K180" s="89">
        <v>0.62</v>
      </c>
      <c r="L180" s="89"/>
      <c r="M180" s="89"/>
      <c r="N180" s="89"/>
      <c r="O180" s="89">
        <v>0.38</v>
      </c>
      <c r="P180" s="89"/>
      <c r="Q180">
        <v>2</v>
      </c>
      <c r="R180" s="49">
        <f t="shared" ref="R180" si="49">Q180*100/599</f>
        <v>0.333889816360601</v>
      </c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  <c r="AE180" s="89"/>
      <c r="AF180" s="89"/>
      <c r="AG180" s="89"/>
      <c r="AH180" s="89"/>
      <c r="AI180" s="89"/>
      <c r="AJ180" s="89"/>
      <c r="AK180" s="89"/>
      <c r="AL180" s="89"/>
      <c r="AM180" s="89"/>
      <c r="AN180" s="89"/>
      <c r="AO180" s="89"/>
      <c r="AP180" s="89"/>
      <c r="AQ180" s="89"/>
      <c r="AR180" s="89"/>
      <c r="AS180" s="89"/>
      <c r="AT180" s="89"/>
      <c r="AU180" s="89"/>
      <c r="AV180" s="89"/>
      <c r="AW180" s="89"/>
      <c r="AX180" s="89"/>
      <c r="AY180" s="89"/>
      <c r="AZ180" s="89"/>
      <c r="BA180" s="89"/>
      <c r="BB180" s="89"/>
    </row>
    <row r="181" spans="1:54" ht="21" x14ac:dyDescent="0.35">
      <c r="A181" s="89" t="s">
        <v>218</v>
      </c>
      <c r="B181" s="89">
        <f>K178+O178+U178+Q178+L178+M178+P178</f>
        <v>159.32219970067831</v>
      </c>
      <c r="C181" s="89" t="s">
        <v>250</v>
      </c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>
        <v>3</v>
      </c>
      <c r="R181" s="49">
        <f>Q181*100/599</f>
        <v>0.5008347245409015</v>
      </c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  <c r="AE181" s="89"/>
      <c r="AF181" s="89"/>
      <c r="AG181" s="89"/>
      <c r="AH181" s="89"/>
      <c r="AI181" s="89"/>
      <c r="AJ181" s="89"/>
      <c r="AK181" s="89"/>
      <c r="AL181" s="89"/>
      <c r="AM181" s="89"/>
      <c r="AN181" s="89"/>
      <c r="AO181" s="89"/>
      <c r="AP181" s="89"/>
      <c r="AQ181" s="89"/>
      <c r="AR181" s="89"/>
      <c r="AS181" s="89"/>
      <c r="AT181" s="89"/>
      <c r="AU181" s="89"/>
      <c r="AV181" s="89"/>
      <c r="AW181" s="89"/>
      <c r="AX181" s="89"/>
      <c r="AY181" s="89"/>
      <c r="AZ181" s="89"/>
      <c r="BA181" s="89"/>
      <c r="BB181" s="89"/>
    </row>
    <row r="182" spans="1:54" ht="21" x14ac:dyDescent="0.35">
      <c r="A182" s="89" t="s">
        <v>237</v>
      </c>
      <c r="B182" s="89">
        <f>C178+D178+G178+H178+I178+J178+E178+F178</f>
        <v>80.984395691538381</v>
      </c>
      <c r="C182" s="89" t="s">
        <v>257</v>
      </c>
      <c r="D182" s="89"/>
      <c r="E182" s="89"/>
      <c r="F182" s="89"/>
      <c r="G182" s="89"/>
      <c r="H182" s="89"/>
      <c r="I182" s="89"/>
      <c r="J182" s="89"/>
      <c r="K182" s="89">
        <f>3-O180-U180</f>
        <v>2.62</v>
      </c>
      <c r="L182" s="89"/>
      <c r="M182" s="89"/>
      <c r="N182" s="89"/>
      <c r="O182" s="89"/>
      <c r="P182" s="89"/>
      <c r="Q182">
        <v>4</v>
      </c>
      <c r="R182" s="49">
        <f t="shared" ref="R182:R183" si="50">Q182*100/599</f>
        <v>0.667779632721202</v>
      </c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  <c r="AG182" s="89"/>
      <c r="AH182" s="89"/>
      <c r="AI182" s="89"/>
      <c r="AJ182" s="89"/>
      <c r="AK182" s="89"/>
      <c r="AL182" s="89"/>
      <c r="AM182" s="89"/>
      <c r="AN182" s="89"/>
      <c r="AO182" s="89"/>
      <c r="AP182" s="89"/>
      <c r="AQ182" s="89"/>
      <c r="AR182" s="89"/>
      <c r="AS182" s="89"/>
      <c r="AT182" s="89"/>
      <c r="AU182" s="89"/>
      <c r="AV182" s="89"/>
      <c r="AW182" s="89"/>
      <c r="AX182" s="89"/>
      <c r="AY182" s="89"/>
      <c r="AZ182" s="89"/>
      <c r="BA182" s="89"/>
      <c r="BB182" s="89"/>
    </row>
    <row r="183" spans="1:54" ht="21" x14ac:dyDescent="0.35">
      <c r="A183" s="89"/>
      <c r="B183" s="179">
        <f>B181+B182</f>
        <v>240.30659539221671</v>
      </c>
      <c r="C183" s="272" t="s">
        <v>249</v>
      </c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>
        <v>5</v>
      </c>
      <c r="R183" s="49">
        <f t="shared" si="50"/>
        <v>0.8347245409015025</v>
      </c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  <c r="AJ183" s="89"/>
      <c r="AK183" s="89"/>
      <c r="AL183" s="89"/>
      <c r="AM183" s="89"/>
      <c r="AN183" s="89"/>
      <c r="AO183" s="89"/>
      <c r="AP183" s="89"/>
      <c r="AQ183" s="89"/>
      <c r="AR183" s="89"/>
      <c r="AS183" s="89"/>
      <c r="AT183" s="89"/>
      <c r="AU183" s="89"/>
      <c r="AV183" s="89"/>
      <c r="AW183" s="89"/>
      <c r="AX183" s="89"/>
      <c r="AY183" s="89"/>
      <c r="AZ183" s="89"/>
      <c r="BA183" s="89"/>
      <c r="BB183" s="89"/>
    </row>
    <row r="184" spans="1:54" ht="21" x14ac:dyDescent="0.35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  <c r="AI184" s="89"/>
      <c r="AJ184" s="89"/>
      <c r="AK184" s="89"/>
      <c r="AL184" s="89"/>
      <c r="AM184" s="89"/>
      <c r="AN184" s="89"/>
      <c r="AO184" s="89"/>
      <c r="AP184" s="89"/>
      <c r="AQ184" s="89"/>
      <c r="AR184" s="89"/>
      <c r="AS184" s="89"/>
      <c r="AT184" s="89"/>
      <c r="AU184" s="89"/>
      <c r="AV184" s="89"/>
      <c r="AW184" s="89"/>
      <c r="AX184" s="89"/>
      <c r="AY184" s="89"/>
      <c r="AZ184" s="89"/>
      <c r="BA184" s="89"/>
      <c r="BB184" s="89"/>
    </row>
    <row r="185" spans="1:54" ht="28.5" x14ac:dyDescent="0.45">
      <c r="A185" s="271" t="s">
        <v>253</v>
      </c>
      <c r="B185" s="266" t="s">
        <v>14</v>
      </c>
      <c r="C185" s="266" t="s">
        <v>15</v>
      </c>
      <c r="D185" s="266" t="s">
        <v>8</v>
      </c>
      <c r="E185" s="266" t="s">
        <v>9</v>
      </c>
      <c r="F185" s="266" t="s">
        <v>234</v>
      </c>
      <c r="G185" s="266" t="s">
        <v>56</v>
      </c>
      <c r="H185" s="266" t="s">
        <v>57</v>
      </c>
      <c r="I185" s="266" t="s">
        <v>58</v>
      </c>
      <c r="J185" s="266" t="s">
        <v>77</v>
      </c>
      <c r="K185" s="267" t="s">
        <v>204</v>
      </c>
      <c r="L185" s="266" t="s">
        <v>16</v>
      </c>
      <c r="M185" s="266" t="s">
        <v>13</v>
      </c>
      <c r="N185" s="266" t="s">
        <v>44</v>
      </c>
      <c r="O185" s="266" t="s">
        <v>55</v>
      </c>
      <c r="P185" s="266" t="s">
        <v>17</v>
      </c>
      <c r="Q185" s="266" t="s">
        <v>80</v>
      </c>
      <c r="R185" s="266" t="s">
        <v>81</v>
      </c>
      <c r="S185" s="266" t="s">
        <v>82</v>
      </c>
      <c r="T185" s="266" t="s">
        <v>83</v>
      </c>
      <c r="U185" s="266" t="s">
        <v>45</v>
      </c>
      <c r="V185" s="266" t="s">
        <v>43</v>
      </c>
      <c r="W185" s="266" t="s">
        <v>12</v>
      </c>
      <c r="X185" s="266" t="s">
        <v>0</v>
      </c>
      <c r="Y185" s="266" t="s">
        <v>11</v>
      </c>
      <c r="Z185" s="266" t="s">
        <v>10</v>
      </c>
      <c r="AA185" s="266" t="s">
        <v>14</v>
      </c>
      <c r="AB185" s="266" t="s">
        <v>15</v>
      </c>
      <c r="AC185" s="266" t="s">
        <v>8</v>
      </c>
      <c r="AD185" s="266" t="s">
        <v>9</v>
      </c>
      <c r="AE185" s="266" t="s">
        <v>234</v>
      </c>
      <c r="AF185" s="266" t="s">
        <v>56</v>
      </c>
      <c r="AG185" s="266" t="s">
        <v>57</v>
      </c>
      <c r="AH185" s="266" t="s">
        <v>58</v>
      </c>
      <c r="AI185" s="266" t="s">
        <v>77</v>
      </c>
      <c r="AJ185" s="267" t="s">
        <v>204</v>
      </c>
      <c r="AK185" s="266" t="s">
        <v>16</v>
      </c>
      <c r="AL185" s="266" t="s">
        <v>13</v>
      </c>
      <c r="AM185" s="266" t="s">
        <v>44</v>
      </c>
      <c r="AN185" s="266" t="s">
        <v>55</v>
      </c>
      <c r="AO185" s="266" t="s">
        <v>17</v>
      </c>
      <c r="AP185" s="266" t="s">
        <v>80</v>
      </c>
      <c r="AQ185" s="266" t="s">
        <v>81</v>
      </c>
      <c r="AR185" s="266" t="s">
        <v>82</v>
      </c>
      <c r="AS185" s="266" t="s">
        <v>83</v>
      </c>
      <c r="AT185" s="266" t="s">
        <v>45</v>
      </c>
      <c r="AU185" s="266" t="s">
        <v>43</v>
      </c>
      <c r="AV185" s="266" t="s">
        <v>12</v>
      </c>
      <c r="AW185" s="266" t="s">
        <v>0</v>
      </c>
      <c r="AX185" s="266" t="s">
        <v>11</v>
      </c>
      <c r="AY185" s="266" t="s">
        <v>10</v>
      </c>
      <c r="AZ185" s="89"/>
      <c r="BA185" s="89"/>
      <c r="BB185" s="89"/>
    </row>
    <row r="186" spans="1:54" ht="21" x14ac:dyDescent="0.35">
      <c r="A186" s="273" t="s">
        <v>251</v>
      </c>
      <c r="B186" s="139">
        <f>100-C186-D186-E186-F186-G186-H186-I186-J186-K186-L186-M186-N186-O186-P186-Q186-R186-S186-T186-U186-V186-W186-X186-Y186-Z186</f>
        <v>62.16</v>
      </c>
      <c r="C186" s="177">
        <v>1.3</v>
      </c>
      <c r="D186" s="177">
        <v>2.25</v>
      </c>
      <c r="E186" s="177">
        <v>30</v>
      </c>
      <c r="F186" s="177">
        <v>0.25</v>
      </c>
      <c r="G186" s="177">
        <v>0.04</v>
      </c>
      <c r="H186" s="177"/>
      <c r="I186" s="177"/>
      <c r="J186" s="177"/>
      <c r="K186" s="177">
        <v>1</v>
      </c>
      <c r="L186" s="177"/>
      <c r="M186" s="177">
        <v>3</v>
      </c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77"/>
      <c r="Z186" s="177"/>
      <c r="AA186" s="189">
        <v>55.84</v>
      </c>
      <c r="AB186" s="89">
        <v>28.0855</v>
      </c>
      <c r="AC186" s="89">
        <v>58.693399999999997</v>
      </c>
      <c r="AD186" s="89">
        <v>63.545999999999999</v>
      </c>
      <c r="AE186" s="89">
        <v>65.38</v>
      </c>
      <c r="AF186" s="89">
        <v>12.01</v>
      </c>
      <c r="AG186" s="89">
        <v>30.973762000000001</v>
      </c>
      <c r="AH186" s="89">
        <v>32.064999999999998</v>
      </c>
      <c r="AI186" s="89">
        <v>14.0067</v>
      </c>
      <c r="AJ186" s="89">
        <v>10.81</v>
      </c>
      <c r="AK186" s="89">
        <v>54.938043999999998</v>
      </c>
      <c r="AL186" s="89">
        <v>24.305</v>
      </c>
      <c r="AM186" s="89">
        <v>51.996099999999998</v>
      </c>
      <c r="AN186" s="89">
        <v>95.95</v>
      </c>
      <c r="AO186" s="89">
        <v>47.866999999999997</v>
      </c>
      <c r="AP186" s="89">
        <v>50.941499999999998</v>
      </c>
      <c r="AQ186" s="89">
        <v>92.906369999999995</v>
      </c>
      <c r="AR186" s="89">
        <v>183.84</v>
      </c>
      <c r="AS186" s="89">
        <v>180.94788</v>
      </c>
      <c r="AT186" s="89">
        <v>91.224000000000004</v>
      </c>
      <c r="AU186" s="89">
        <v>58.933194999999998</v>
      </c>
      <c r="AV186" s="89">
        <v>26.981539999999999</v>
      </c>
      <c r="AW186" s="89">
        <v>121.76</v>
      </c>
      <c r="AX186" s="89">
        <v>207.2</v>
      </c>
      <c r="AY186" s="89">
        <v>118.71</v>
      </c>
      <c r="AZ186" s="89"/>
      <c r="BA186" s="89"/>
      <c r="BB186" s="89"/>
    </row>
    <row r="187" spans="1:54" ht="21" x14ac:dyDescent="0.35">
      <c r="A187" s="89" t="s">
        <v>241</v>
      </c>
      <c r="B187" s="139">
        <f>100*((((B186)/(AA186))/(((B186)/(AA186))+((C186)/(AB186))+((D186)/(AC186))+((E186)/(AD186))+((F186)/(AE186))+((G186)/(AF186))+((H186)/(AG186))+((I186)/(AH186))+((J186)/(AI186))+((K186)/(AJ186))+((L186)/(AK186))+((M186)/(AL186))+((N186)/(AM186))+((O186)/(AN186))+((P186)/(AO186))+((Q186)/(AP186))+((R186)/(AQ186))+((S186)/(AR186))+((T186)/(AS186))+((U186)/(AT186))+((V186)/(AU186))+((W186)/(AV186))+((X186)/(AW186))+((Y186)/(AX186))+((Z186)/(AY186)))))</f>
        <v>58.805279047758852</v>
      </c>
      <c r="C187" s="139">
        <f>100*((((C186)/(AB186))/(((B186)/(AA186))+((C186)/(AB186))+((D186)/(AC186))+((E186)/(AD186))+((F186)/(AE186))+((G186)/(AF186))+((H186)/(AG186))+((I186)/(AH186))+((J186)/(AI186))+((K186)/(AJ186))+((L186)/(AK186))+((M186)/(AL186))+((N186)/(AM186))+((O186)/(AN186))+((P186)/(AO186))+((Q186)/(AP186))+((R186)/(AQ186))+((S186)/(AR186))+((T186)/(AS186))+((U186)/(AT186))+((V186)/(AU186))+((W186)/(AV186))+((X186)/(AW186))+((Y186)/(AX186))+((Z186)/(AY186)))))</f>
        <v>2.4451860608458902</v>
      </c>
      <c r="D187" s="139">
        <f>100*((((D186)/(AC186))/(((B186)/(AA186))+((C186)/(AB186))+((D186)/(AC186))+((E186)/(AD186))+((F186)/(AE186))+((G186)/(AF186))+((H186)/(AG186))+((I186)/(AH186))+((J186)/(AI186))+((K186)/(AJ186))+((L186)/(AK186))+((M186)/(AL186))+((N186)/(AM186))+((O186)/(AN186))+((P186)/(AO186))+((Q186)/(AP186))+((R186)/(AQ186))+((S186)/(AR186))+((T186)/(AS186))+((U186)/(AT186))+((V186)/(AU186))+((W186)/(AV186))+((X186)/(AW186))+((Y186)/(AX186))+((Z186)/(AY186)))))</f>
        <v>2.0250883207907049</v>
      </c>
      <c r="E187" s="139">
        <f>100*((((E186)/(AD186))/(((B186)/(AA186))+((C186)/(AB186))+((D186)/(AC186))+((E186)/(AD186))+((F186)/(AE186))+((G186)/(AF186))+((H186)/(AG186))+((I186)/(AH186))+((J186)/(AI186))+((K186)/(AJ186))+((L186)/(AK186))+((M186)/(AL186))+((N186)/(AM186))+((O186)/(AN186))+((P186)/(AO186))+((Q186)/(AP186))+((R186)/(AQ186))+((S186)/(AR186))+((T186)/(AS186))+((U186)/(AT186))+((V186)/(AU186))+((W186)/(AV186))+((X186)/(AW186))+((Y186)/(AX186))+((Z186)/(AY186)))))</f>
        <v>24.93927104721979</v>
      </c>
      <c r="F187" s="139">
        <f>100*((((F186)/(AE186))/(((B186)/(AA186))+((C186)/(AB186))+((D186)/(AC186))+((E186)/(AD186))+((F186)/(AE186))+((G186)/(AF186))+((H186)/(AG186))+((I186)/(AH186))+((J186)/(AI186))+((K186)/(AJ186))+((L186)/(AK186))+((M186)/(AL186))+((N186)/(AM186))+((O186)/(AN186))+((P186)/(AO186))+((Q186)/(AP186))+((R186)/(AQ186))+((S186)/(AR186))+((T186)/(AS186))+((U186)/(AT186))+((V186)/(AU186))+((W186)/(AV186))+((X186)/(AW186))+((Y186)/(AX186))+((Z186)/(AY186)))))</f>
        <v>0.20199741485248152</v>
      </c>
      <c r="G187" s="139">
        <f>100*((((G186)/(AF186))/(((B186)/(AA186))+((C186)/(AB186))+((D186)/(AC186))+((E186)/(AD186))+((F186)/(AE186))+((G186)/(AF186))+((H186)/(AG186))+((I186)/(AH186))+((J186)/(AI186))+((K186)/(AJ186))+((L186)/(AK186))+((M186)/(AL186))+((N186)/(AM186))+((O186)/(AN186))+((P186)/(AO186))+((Q186)/(AP186))+((R186)/(AQ186))+((S186)/(AR186))+((T186)/(AS186))+((U186)/(AT186))+((V186)/(AU186))+((W186)/(AV186))+((X186)/(AW186))+((Y186)/(AX186))+((Z186)/(AY186)))))</f>
        <v>0.17594126205569013</v>
      </c>
      <c r="H187" s="139">
        <f>100*((((H186)/(AG186))/(((B186)/(AA186))+((C186)/(AB186))+((D186)/(AC186))+((E186)/(AD186))+((F186)/(AE186))+((G186)/(AF186))+((H186)/(AG186))+((I186)/(AH186))+((J186)/(AI186))+((K186)/(AJ186))+((L186)/(AK186))+((M186)/(AL186))+((N186)/(AM186))+((O186)/(AN186))+((P186)/(AO186))+((Q186)/(AP186))+((R186)/(AQ186))+((S186)/(AR186))+((T186)/(AS186))+((U186)/(AT186))+((V186)/(AU186))+((W186)/(AV186))+((X186)/(AW186))+((Y186)/(AX186))+((Z186)/(AY186)))))</f>
        <v>0</v>
      </c>
      <c r="I187" s="139">
        <f>100*((((I186)/(AH186))/(((B186)/(AA186))+((C186)/(AB186))+((D186)/(AC186))+((E186)/(AD186))+((F186)/(AE186))+((G186)/(AF186))+((H186)/(AG186))+((I186)/(AH186))+((J186)/(AI186))+((K186)/(AJ186))+((L186)/(AK186))+((M186)/(AL186))+((N186)/(AM186))+((O186)/(AN186))+((P186)/(AO186))+((Q186)/(AP186))+((R186)/(AQ186))+((S186)/(AR186))+((T186)/(AS186))+((U186)/(AT186))+((V186)/(AU186))+((W186)/(AV186))+((X186)/(AW186))+((Y186)/(AX186))+((Z186)/(AY186)))))</f>
        <v>0</v>
      </c>
      <c r="J187" s="139">
        <f>100*((((J186)/(AI186))/(((B186)/(AA186))+((C186)/(AB186))+((D186)/(AC186))+((E186)/(AD186))+((F186)/(AE186))+((G186)/(AF186))+((H186)/(AG186))+((I186)/(AH186))+((J186)/(AI186))+((K186)/(AJ186))+((L186)/(AK186))+((M186)/(AL186))+((N186)/(AM186))+((O186)/(AN186))+((P186)/(AO186))+((Q186)/(AP186))+((R186)/(AQ186))+((S186)/(AR186))+((T186)/(AS186))+((U186)/(AT186))+((V186)/(AU186))+((W186)/(AV186))+((X186)/(AW186))+((Y186)/(AX186))+((Z186)/(AY186)))))</f>
        <v>0</v>
      </c>
      <c r="K187" s="139">
        <f>100*((((K186)/(AJ186))/(((B186)/(AA186))+((C186)/(AB186))+((D186)/(AC186))+((E186)/(AD186))+((F186)/(AE186))+((G186)/(AF186))+((H186)/(AG186))+((I186)/(AH186))+((J186)/(AI186))+((K186)/(AJ186))+((L186)/(AK186))+((M186)/(AL186))+((N186)/(AM186))+((O186)/(AN186))+((P186)/(AO186))+((Q186)/(AP186))+((R186)/(AQ186))+((S186)/(AR186))+((T186)/(AS186))+((U186)/(AT186))+((V186)/(AU186))+((W186)/(AV186))+((X186)/(AW186))+((Y186)/(AX186))+((Z186)/(AY186)))))</f>
        <v>4.8868051741184981</v>
      </c>
      <c r="L187" s="139">
        <f>100*((((L186)/(AK186))/(((B186)/(AA186))+((C186)/(AB186))+((D186)/(AC186))+((E186)/(AD186))+((F186)/(AE186))+((G186)/(AF186))+((H186)/(AG186))+((I186)/(AH186))+((J186)/(AI186))+((K186)/(AJ186))+((L186)/(AK186))+((M186)/(AL186))+((N186)/(AM186))+((O186)/(AN186))+((P186)/(AO186))+((Q186)/(AP186))+((R186)/(AQ186))+((S186)/(AR186))+((T186)/(AS186))+((U186)/(AT186))+((V186)/(AU186))+((W186)/(AV186))+((X186)/(AW186))+((Y186)/(AX186))+((Z186)/(AY186)))))</f>
        <v>0</v>
      </c>
      <c r="M187" s="139">
        <f>100*((((M186)/(AL186))/(((B186)/(AA186))+((C186)/(AB186))+((D186)/(AC186))+((E186)/(AD186))+((F186)/(AE186))+((G186)/(AF186))+((H186)/(AG186))+((I186)/(AH186))+((J186)/(AI186))+((K186)/(AJ186))+((L186)/(AK186))+((M186)/(AL186))+((N186)/(AM186))+((O186)/(AN186))+((P186)/(AO186))+((Q186)/(AP186))+((R186)/(AQ186))+((S186)/(AR186))+((T186)/(AS186))+((U186)/(AT186))+((V186)/(AU186))+((W186)/(AV186))+((X186)/(AW186))+((Y186)/(AX186))+((Z186)/(AY186)))))</f>
        <v>6.5204316723580691</v>
      </c>
      <c r="N187" s="139">
        <f>100*((((N186)/(AM186))/(((B186)/(AA186))+((C186)/(AB186))+((D186)/(AC186))+((E186)/(AD186))+((F186)/(AE186))+((G186)/(AF186))+((H186)/(AG186))+((I186)/(AH186))+((J186)/(AI186))+((K186)/(AJ186))+((L186)/(AK186))+((M186)/(AL186))+((N186)/(AM186))+((O186)/(AN186))+((P186)/(AO186))+((Q186)/(AP186))+((R186)/(AQ186))+((S186)/(AR186))+((T186)/(AS186))+((U186)/(AT186))+((V186)/(AU186))+((W186)/(AV186))+((X186)/(AW186))+((Y186)/(AX186))+((Z186)/(AY186)))))</f>
        <v>0</v>
      </c>
      <c r="O187" s="139">
        <f>100*((((O186)/(AN186))/(((B186)/(AA186))+((C186)/(AB186))+((D186)/(AC186))+((E186)/(AD186))+((F186)/(AE186))+((G186)/(AF186))+((H186)/(AG186))+((I186)/(AH186))+((J186)/(AI186))+((K186)/(AJ186))+((L186)/(AK186))+((M186)/(AL186))+((N186)/(AM186))+((O186)/(AN186))+((P186)/(AO186))+((Q186)/(AP186))+((R186)/(AQ186))+((S186)/(AR186))+((T186)/(AS186))+((U186)/(AT186))+((V186)/(AU186))+((W186)/(AV186))+((X186)/(AW186))+((Y186)/(AX186))+((Z186)/(AY186)))))</f>
        <v>0</v>
      </c>
      <c r="P187" s="139">
        <f>100*((((P186)/(AO186))/(((B186)/(AA186))+((C186)/(AB186))+((D186)/(AC186))+((E186)/(AD186))+((F186)/(AE186))+((G186)/(AF186))+((H186)/(AG186))+((I186)/(AH186))+((J186)/(AI186))+((K186)/(AJ186))+((L186)/(AK186))+((M186)/(AL186))+((N186)/(AM186))+((O186)/(AN186))+((P186)/(AO186))+((Q186)/(AP186))+((R186)/(AQ186))+((S186)/(AR186))+((T186)/(AS186))+((U186)/(AT186))+((V186)/(AU186))+((W186)/(AV186))+((X186)/(AW186))+((Y186)/(AX186))+((Z186)/(AY186)))))</f>
        <v>0</v>
      </c>
      <c r="Q187" s="139">
        <f>100*((((Q186)/(AP186))/(((B186)/(AA186))+((C186)/(AB186))+((D186)/(AC186))+((E186)/(AD186))+((F186)/(AE186))+((G186)/(AF186))+((H186)/(AG186))+((I186)/(AH186))+((J186)/(AI186))+((K186)/(AJ186))+((L186)/(AK186))+((M186)/(AL186))+((N186)/(AM186))+((O186)/(AN186))+((P186)/(AO186))+((Q186)/(AP186))+((R186)/(AQ186))+((S186)/(AR186))+((T186)/(AS186))+((U186)/(AT186))+((V186)/(AU186))+((W186)/(AV186))+((X186)/(AW186))+((Y186)/(AX186))+((Z186)/(AY186)))))</f>
        <v>0</v>
      </c>
      <c r="R187" s="139">
        <f>100*((((R186)/(AQ186))/(((B186)/(AA186))+((C186)/(AB186))+((D186)/(AC186))+((E186)/(AD186))+((F186)/(AE186))+((G186)/(AF186))+((H186)/(AG186))+((I186)/(AH186))+((J186)/(AI186))+((K186)/(AJ186))+((L186)/(AK186))+((M186)/(AL186))+((N186)/(AM186))+((O186)/(AN186))+((P186)/(AO186))+((Q186)/(AP186))+((R186)/(AQ186))+((S186)/(AR186))+((T186)/(AS186))+((U186)/(AT186))+((V186)/(AU186))+((W186)/(AV186))+((X186)/(AW186))+((Y186)/(AX186))+((Z186)/(AY186)))))</f>
        <v>0</v>
      </c>
      <c r="S187" s="139">
        <f>100*((((S186)/(AR186))/(((B186)/(AA186))+((C186)/(AB186))+((D186)/(AC186))+((E186)/(AD186))+((F186)/(AE186))+((G186)/(AF186))+((H186)/(AG186))+((I186)/(AH186))+((J186)/(AI186))+((K186)/(AJ186))+((L186)/(AK186))+((M186)/(AL186))+((N186)/(AM186))+((O186)/(AN186))+((P186)/(AO186))+((Q186)/(AP186))+((R186)/(AQ186))+((S186)/(AR186))+((T186)/(AS186))+((U186)/(AT186))+((V186)/(AU186))+((W186)/(AV186))+((X186)/(AW186))+((Y186)/(AX186))+((Z186)/(AY186)))))</f>
        <v>0</v>
      </c>
      <c r="T187" s="139">
        <f>100*((((T186)/(AS186))/(((B186)/(AA186))+((C186)/(AB186))+((D186)/(AC186))+((E186)/(AD186))+((F186)/(AE186))+((G186)/(AF186))+((H186)/(AG186))+((I186)/(AH186))+((J186)/(AI186))+((K186)/(AJ186))+((L186)/(AK186))+((M186)/(AL186))+((N186)/(AM186))+((O186)/(AN186))+((P186)/(AO186))+((Q186)/(AP186))+((R186)/(AQ186))+((S186)/(AR186))+((T186)/(AS186))+((U186)/(AT186))+((V186)/(AU186))+((W186)/(AV186))+((X186)/(AW186))+((Y186)/(AX186))+((Z186)/(AY186)))))</f>
        <v>0</v>
      </c>
      <c r="U187" s="139">
        <f>100*((((U186)/(AT186))/(((B186)/(AA186))+((C186)/(AB186))+((D186)/(AC186))+((E186)/(AD186))+((F186)/(AE186))+((G186)/(AF186))+((H186)/(AG186))+((I186)/(AH186))+((J186)/(AI186))+((K186)/(AJ186))+((L186)/(AK186))+((M186)/(AL186))+((N186)/(AM186))+((O186)/(AN186))+((P186)/(AO186))+((Q186)/(AP186))+((R186)/(AQ186))+((S186)/(AR186))+((T186)/(AS186))+((U186)/(AT186))+((V186)/(AU186))+((W186)/(AV186))+((X186)/(AW186))+((Y186)/(AX186))+((Z186)/(AY186)))))</f>
        <v>0</v>
      </c>
      <c r="V187" s="139">
        <f>100*((((V186)/(AU186))/(((B186)/(AA186))+((C186)/(AB186))+((D186)/(AC186))+((E186)/(AD186))+((F186)/(AE186))+((G186)/(AF186))+((H186)/(AG186))+((I186)/(AH186))+((J186)/(AI186))+((K186)/(AJ186))+((L186)/(AK186))+((M186)/(AL186))+((N186)/(AM186))+((O186)/(AN186))+((P186)/(AO186))+((Q186)/(AP186))+((R186)/(AQ186))+((S186)/(AR186))+((T186)/(AS186))+((U186)/(AT186))+((V186)/(AU186))+((W186)/(AV186))+((X186)/(AW186))+((Y186)/(AX186))+((Z186)/(AY186)))))</f>
        <v>0</v>
      </c>
      <c r="W187" s="139">
        <f>100*((((W186)/(AV186))/(((B186)/(AA186))+((C186)/(AB186))+((D186)/(AC186))+((E186)/(AD186))+((F186)/(AE186))+((G186)/(AF186))+((H186)/(AG186))+((I186)/(AH186))+((J186)/(AI186))+((K186)/(AJ186))+((L186)/(AK186))+((M186)/(AL186))+((N186)/(AM186))+((O186)/(AN186))+((P186)/(AO186))+((Q186)/(AP186))+((R186)/(AQ186))+((S186)/(AR186))+((T186)/(AS186))+((U186)/(AT186))+((V186)/(AU186))+((W186)/(AV186))+((X186)/(AW186))+((Y186)/(AX186))+((Z186)/(AY186)))))</f>
        <v>0</v>
      </c>
      <c r="X187" s="89">
        <f>100*((((X186)/(AW186))/(((B186)/(AA186))+((C186)/(AB186))+((D186)/(AC186))+((E186)/(AD186))+((F186)/(AE186))+((G186)/(AF186))+((H186)/(AG186))+((I186)/(AH186))+((J186)/(AI186))+((K186)/(AJ186))+((L186)/(AK186))+((M186)/(AL186))+((N186)/(AM186))+((O186)/(AN186))+((P186)/(AO186))+((Q186)/(AP186))+((R186)/(AQ186))+((S186)/(AR186))+((T186)/(AS186))+((U186)/(AT186))+((V186)/(AU186))+((W186)/(AV186))+((X186)/(AW186))+((Y186)/(AX186))+((Z186)/(AY186)))))</f>
        <v>0</v>
      </c>
      <c r="Y187" s="89">
        <f>100*((((Y186)/(AX186))/(((B186)/(AA186))+((C186)/(AB186))+((D186)/(AC186))+((E186)/(AD186))+((F186)/(AE186))+((G186)/(AF186))+((H186)/(AG186))+((I186)/(AH186))+((J186)/(AI186))+((K186)/(AJ186))+((L186)/(AK186))+((M186)/(AL186))+((N186)/(AM186))+((O186)/(AN186))+((P186)/(AO186))+((Q186)/(AP186))+((R186)/(AQ186))+((S186)/(AR186))+((T186)/(AS186))+((U186)/(AT186))+((V186)/(AU186))+((W186)/(AV186))+((X186)/(AW186))+((Y186)/(AX186))+((Z186)/(AY186)))))</f>
        <v>0</v>
      </c>
      <c r="Z187" s="89">
        <f>100*((((Z186)/(AY186))/(((B186)/(AA186))+((C186)/(AB186))+((D186)/(AC186))+((E186)/(AD186))+((F186)/(AE186))+((G186)/(AF186))+((H186)/(AG186))+((I186)/(AH186))+((J186)/(AI186))+((K186)/(AJ186))+((L186)/(AK186))+((M186)/(AL186))+((N186)/(AM186))+((O186)/(AN186))+((P186)/(AO186))+((Q186)/(AP186))+((R186)/(AQ186))+((S186)/(AR186))+((T186)/(AS186))+((U186)/(AT186))+((V186)/(AU186))+((W186)/(AV186))+((X186)/(AW186))+((Y186)/(AX186))+((Z186)/(AY186)))))</f>
        <v>0</v>
      </c>
      <c r="AA187" s="89"/>
      <c r="AB187" s="89"/>
      <c r="AC187" s="89"/>
      <c r="AD187" s="89"/>
      <c r="AE187" s="89"/>
      <c r="AF187" s="89"/>
      <c r="AG187" s="89"/>
      <c r="AH187" s="89"/>
      <c r="AI187" s="89"/>
      <c r="AJ187" s="89"/>
      <c r="AK187" s="89"/>
      <c r="AL187" s="89"/>
      <c r="AM187" s="89"/>
      <c r="AN187" s="89"/>
      <c r="AO187" s="89"/>
      <c r="AP187" s="89"/>
      <c r="AQ187" s="89"/>
      <c r="AR187" s="89"/>
      <c r="AS187" s="89"/>
      <c r="AT187" s="89"/>
      <c r="AU187" s="89"/>
      <c r="AV187" s="89"/>
      <c r="AW187" s="89"/>
      <c r="AX187" s="89"/>
      <c r="AY187" s="89"/>
      <c r="AZ187" s="89"/>
      <c r="BA187" s="89"/>
      <c r="BB187" s="89"/>
    </row>
    <row r="188" spans="1:54" ht="21" x14ac:dyDescent="0.35">
      <c r="A188" s="89">
        <f>599-B188</f>
        <v>246.75637850392451</v>
      </c>
      <c r="B188" s="89">
        <f>599*B187/100</f>
        <v>352.24362149607549</v>
      </c>
      <c r="C188" s="89">
        <f>599*C187/100</f>
        <v>14.646664504466882</v>
      </c>
      <c r="D188" s="89">
        <f t="shared" ref="D188:Z188" si="51">599*D187/100</f>
        <v>12.130279041536323</v>
      </c>
      <c r="E188" s="89">
        <f t="shared" si="51"/>
        <v>149.38623357284655</v>
      </c>
      <c r="F188" s="89">
        <f t="shared" si="51"/>
        <v>1.2099645149663643</v>
      </c>
      <c r="G188" s="89">
        <f t="shared" si="51"/>
        <v>1.0538881597135841</v>
      </c>
      <c r="H188" s="89">
        <f t="shared" si="51"/>
        <v>0</v>
      </c>
      <c r="I188" s="89">
        <f t="shared" si="51"/>
        <v>0</v>
      </c>
      <c r="J188" s="89">
        <f t="shared" si="51"/>
        <v>0</v>
      </c>
      <c r="K188" s="89">
        <f t="shared" si="51"/>
        <v>29.271962992969801</v>
      </c>
      <c r="L188" s="89">
        <f t="shared" si="51"/>
        <v>0</v>
      </c>
      <c r="M188" s="89">
        <f t="shared" si="51"/>
        <v>39.057385717424836</v>
      </c>
      <c r="N188" s="89">
        <f t="shared" si="51"/>
        <v>0</v>
      </c>
      <c r="O188" s="89">
        <f t="shared" si="51"/>
        <v>0</v>
      </c>
      <c r="P188" s="89">
        <f t="shared" si="51"/>
        <v>0</v>
      </c>
      <c r="Q188" s="89">
        <f t="shared" si="51"/>
        <v>0</v>
      </c>
      <c r="R188" s="89">
        <f t="shared" si="51"/>
        <v>0</v>
      </c>
      <c r="S188" s="89">
        <f t="shared" si="51"/>
        <v>0</v>
      </c>
      <c r="T188" s="89">
        <f t="shared" si="51"/>
        <v>0</v>
      </c>
      <c r="U188" s="89">
        <f t="shared" si="51"/>
        <v>0</v>
      </c>
      <c r="V188" s="89">
        <f t="shared" si="51"/>
        <v>0</v>
      </c>
      <c r="W188" s="89">
        <f t="shared" si="51"/>
        <v>0</v>
      </c>
      <c r="X188" s="89">
        <f t="shared" si="51"/>
        <v>0</v>
      </c>
      <c r="Y188" s="89">
        <f t="shared" si="51"/>
        <v>0</v>
      </c>
      <c r="Z188" s="89">
        <f t="shared" si="51"/>
        <v>0</v>
      </c>
      <c r="AA188" s="89"/>
      <c r="AB188" s="89"/>
      <c r="AC188" s="89"/>
      <c r="AD188" s="89"/>
      <c r="AE188" s="89"/>
      <c r="AF188" s="89"/>
      <c r="AG188" s="89"/>
      <c r="AH188" s="89"/>
      <c r="AI188" s="89"/>
      <c r="AJ188" s="89"/>
      <c r="AK188" s="89"/>
      <c r="AL188" s="89"/>
      <c r="AM188" s="89"/>
      <c r="AN188" s="89"/>
      <c r="AO188" s="89"/>
      <c r="AP188" s="89"/>
      <c r="AQ188" s="89"/>
      <c r="AR188" s="89"/>
      <c r="AS188" s="89"/>
      <c r="AT188" s="89"/>
      <c r="AU188" s="89"/>
      <c r="AV188" s="89"/>
      <c r="AW188" s="89"/>
      <c r="AX188" s="89"/>
      <c r="AY188" s="89"/>
      <c r="AZ188" s="89"/>
      <c r="BA188" s="89"/>
      <c r="BB188" s="89"/>
    </row>
    <row r="189" spans="1:54" ht="21" x14ac:dyDescent="0.35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>
        <v>1</v>
      </c>
      <c r="R189" s="49">
        <f>Q189*100/599</f>
        <v>0.1669449081803005</v>
      </c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  <c r="AD189" s="89"/>
      <c r="AE189" s="89"/>
      <c r="AF189" s="89"/>
      <c r="AG189" s="89"/>
      <c r="AH189" s="89"/>
      <c r="AI189" s="89"/>
      <c r="AJ189" s="89"/>
      <c r="AK189" s="89"/>
      <c r="AL189" s="89"/>
      <c r="AM189" s="89"/>
      <c r="AN189" s="89"/>
      <c r="AO189" s="89"/>
      <c r="AP189" s="89"/>
      <c r="AQ189" s="89"/>
      <c r="AR189" s="89"/>
      <c r="AS189" s="89"/>
      <c r="AT189" s="89"/>
      <c r="AU189" s="89"/>
      <c r="AV189" s="89"/>
      <c r="AW189" s="89"/>
      <c r="AX189" s="89"/>
      <c r="AY189" s="89"/>
      <c r="AZ189" s="89"/>
      <c r="BA189" s="89"/>
      <c r="BB189" s="89"/>
    </row>
    <row r="190" spans="1:54" ht="21" x14ac:dyDescent="0.35">
      <c r="A190" s="89">
        <f>B190+C190+D190+E190+F190+G190+H190+I190+J190+K190+L190+M190+N190+O190+P190+Q190+R190+S190+T190+U190+V190+W190+X190+Y190+Z190</f>
        <v>3.7108898163606008</v>
      </c>
      <c r="B190" s="89"/>
      <c r="C190" s="89">
        <v>0.13900000000000001</v>
      </c>
      <c r="D190" s="89">
        <v>3.7999999999999999E-2</v>
      </c>
      <c r="E190" s="89"/>
      <c r="F190" s="89"/>
      <c r="G190" s="89">
        <v>0.1</v>
      </c>
      <c r="H190" s="89">
        <v>0.1</v>
      </c>
      <c r="I190" s="89">
        <f>I188</f>
        <v>0</v>
      </c>
      <c r="J190" s="89"/>
      <c r="K190" s="89">
        <v>0.62</v>
      </c>
      <c r="L190" s="89"/>
      <c r="M190" s="89"/>
      <c r="N190" s="89"/>
      <c r="O190" s="89">
        <v>0.38</v>
      </c>
      <c r="P190" s="89"/>
      <c r="Q190">
        <v>2</v>
      </c>
      <c r="R190" s="49">
        <f t="shared" ref="R190" si="52">Q190*100/599</f>
        <v>0.333889816360601</v>
      </c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  <c r="AD190" s="89"/>
      <c r="AE190" s="89"/>
      <c r="AF190" s="89"/>
      <c r="AG190" s="89"/>
      <c r="AH190" s="89"/>
      <c r="AI190" s="89"/>
      <c r="AJ190" s="89"/>
      <c r="AK190" s="89"/>
      <c r="AL190" s="89"/>
      <c r="AM190" s="89"/>
      <c r="AN190" s="89"/>
      <c r="AO190" s="89"/>
      <c r="AP190" s="89"/>
      <c r="AQ190" s="89"/>
      <c r="AR190" s="89"/>
      <c r="AS190" s="89"/>
      <c r="AT190" s="89"/>
      <c r="AU190" s="89"/>
      <c r="AV190" s="89"/>
      <c r="AW190" s="89"/>
      <c r="AX190" s="89"/>
      <c r="AY190" s="89"/>
      <c r="AZ190" s="89"/>
      <c r="BA190" s="89"/>
      <c r="BB190" s="89"/>
    </row>
    <row r="191" spans="1:54" ht="21" x14ac:dyDescent="0.35">
      <c r="A191" s="89" t="s">
        <v>218</v>
      </c>
      <c r="B191" s="89">
        <f>K188+O188+U188+Q188+L188+M188+P188</f>
        <v>68.32934871039464</v>
      </c>
      <c r="C191" s="89" t="s">
        <v>256</v>
      </c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>
        <v>3</v>
      </c>
      <c r="R191" s="49">
        <f>Q191*100/599</f>
        <v>0.5008347245409015</v>
      </c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/>
      <c r="AJ191" s="89"/>
      <c r="AK191" s="89"/>
      <c r="AL191" s="89"/>
      <c r="AM191" s="89"/>
      <c r="AN191" s="89"/>
      <c r="AO191" s="89"/>
      <c r="AP191" s="89"/>
      <c r="AQ191" s="89"/>
      <c r="AR191" s="89"/>
      <c r="AS191" s="89"/>
      <c r="AT191" s="89"/>
      <c r="AU191" s="89"/>
      <c r="AV191" s="89"/>
      <c r="AW191" s="89"/>
      <c r="AX191" s="89"/>
      <c r="AY191" s="89"/>
      <c r="AZ191" s="89"/>
      <c r="BA191" s="89"/>
      <c r="BB191" s="89"/>
    </row>
    <row r="192" spans="1:54" ht="21" x14ac:dyDescent="0.35">
      <c r="A192" s="89" t="s">
        <v>237</v>
      </c>
      <c r="B192" s="89">
        <f>C188+D188+G188+H188+I188+J188+E188+F188</f>
        <v>178.4270297935297</v>
      </c>
      <c r="C192" s="89" t="s">
        <v>255</v>
      </c>
      <c r="D192" s="89"/>
      <c r="E192" s="89"/>
      <c r="F192" s="89"/>
      <c r="G192" s="89"/>
      <c r="H192" s="89"/>
      <c r="I192" s="89"/>
      <c r="J192" s="89"/>
      <c r="K192" s="89">
        <f>3-O190-U190</f>
        <v>2.62</v>
      </c>
      <c r="L192" s="89"/>
      <c r="M192" s="89"/>
      <c r="N192" s="89"/>
      <c r="O192" s="89"/>
      <c r="P192" s="89"/>
      <c r="Q192">
        <v>4</v>
      </c>
      <c r="R192" s="49">
        <f t="shared" ref="R192:R193" si="53">Q192*100/599</f>
        <v>0.667779632721202</v>
      </c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  <c r="AD192" s="89"/>
      <c r="AE192" s="89"/>
      <c r="AF192" s="89"/>
      <c r="AG192" s="89"/>
      <c r="AH192" s="89"/>
      <c r="AI192" s="89"/>
      <c r="AJ192" s="89"/>
      <c r="AK192" s="89"/>
      <c r="AL192" s="89"/>
      <c r="AM192" s="89"/>
      <c r="AN192" s="89"/>
      <c r="AO192" s="89"/>
      <c r="AP192" s="89"/>
      <c r="AQ192" s="89"/>
      <c r="AR192" s="89"/>
      <c r="AS192" s="89"/>
      <c r="AT192" s="89"/>
      <c r="AU192" s="89"/>
      <c r="AV192" s="89"/>
      <c r="AW192" s="89"/>
      <c r="AX192" s="89"/>
      <c r="AY192" s="89"/>
      <c r="AZ192" s="89"/>
      <c r="BA192" s="89"/>
      <c r="BB192" s="89"/>
    </row>
    <row r="193" spans="1:54" ht="21" x14ac:dyDescent="0.35">
      <c r="A193" s="89"/>
      <c r="B193" s="179">
        <f>B191+B192</f>
        <v>246.75637850392434</v>
      </c>
      <c r="C193" s="272" t="s">
        <v>254</v>
      </c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>
        <v>5</v>
      </c>
      <c r="R193" s="49">
        <f t="shared" si="53"/>
        <v>0.8347245409015025</v>
      </c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  <c r="AJ193" s="89"/>
      <c r="AK193" s="89"/>
      <c r="AL193" s="89"/>
      <c r="AM193" s="89"/>
      <c r="AN193" s="89"/>
      <c r="AO193" s="89"/>
      <c r="AP193" s="89"/>
      <c r="AQ193" s="89"/>
      <c r="AR193" s="89"/>
      <c r="AS193" s="89"/>
      <c r="AT193" s="89"/>
      <c r="AU193" s="89"/>
      <c r="AV193" s="89"/>
      <c r="AW193" s="89"/>
      <c r="AX193" s="89"/>
      <c r="AY193" s="89"/>
      <c r="AZ193" s="89"/>
      <c r="BA193" s="89"/>
      <c r="BB193" s="89"/>
    </row>
    <row r="194" spans="1:54" ht="21" x14ac:dyDescent="0.35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  <c r="AE194" s="89"/>
      <c r="AF194" s="89"/>
      <c r="AG194" s="89"/>
      <c r="AH194" s="89"/>
      <c r="AI194" s="89"/>
      <c r="AJ194" s="89"/>
      <c r="AK194" s="89"/>
      <c r="AL194" s="89"/>
      <c r="AM194" s="89"/>
      <c r="AN194" s="89"/>
      <c r="AO194" s="89"/>
      <c r="AP194" s="89"/>
      <c r="AQ194" s="89"/>
      <c r="AR194" s="89"/>
      <c r="AS194" s="89"/>
      <c r="AT194" s="89"/>
      <c r="AU194" s="89"/>
      <c r="AV194" s="89"/>
      <c r="AW194" s="89"/>
      <c r="AX194" s="89"/>
      <c r="AY194" s="89"/>
      <c r="AZ194" s="89"/>
      <c r="BA194" s="89"/>
      <c r="BB194" s="89"/>
    </row>
    <row r="195" spans="1:54" ht="28.5" x14ac:dyDescent="0.45">
      <c r="A195" s="271" t="s">
        <v>258</v>
      </c>
      <c r="B195" s="266" t="s">
        <v>14</v>
      </c>
      <c r="C195" s="266" t="s">
        <v>15</v>
      </c>
      <c r="D195" s="266" t="s">
        <v>8</v>
      </c>
      <c r="E195" s="266" t="s">
        <v>9</v>
      </c>
      <c r="F195" s="266" t="s">
        <v>234</v>
      </c>
      <c r="G195" s="266" t="s">
        <v>56</v>
      </c>
      <c r="H195" s="266" t="s">
        <v>57</v>
      </c>
      <c r="I195" s="266" t="s">
        <v>58</v>
      </c>
      <c r="J195" s="266" t="s">
        <v>77</v>
      </c>
      <c r="K195" s="267" t="s">
        <v>204</v>
      </c>
      <c r="L195" s="266" t="s">
        <v>16</v>
      </c>
      <c r="M195" s="266" t="s">
        <v>13</v>
      </c>
      <c r="N195" s="266" t="s">
        <v>44</v>
      </c>
      <c r="O195" s="266" t="s">
        <v>55</v>
      </c>
      <c r="P195" s="266" t="s">
        <v>17</v>
      </c>
      <c r="Q195" s="266" t="s">
        <v>80</v>
      </c>
      <c r="R195" s="266" t="s">
        <v>81</v>
      </c>
      <c r="S195" s="266" t="s">
        <v>82</v>
      </c>
      <c r="T195" s="266" t="s">
        <v>83</v>
      </c>
      <c r="U195" s="266" t="s">
        <v>45</v>
      </c>
      <c r="V195" s="266" t="s">
        <v>43</v>
      </c>
      <c r="W195" s="266" t="s">
        <v>12</v>
      </c>
      <c r="X195" s="266" t="s">
        <v>0</v>
      </c>
      <c r="Y195" s="266" t="s">
        <v>11</v>
      </c>
      <c r="Z195" s="266" t="s">
        <v>10</v>
      </c>
      <c r="AA195" s="266" t="s">
        <v>14</v>
      </c>
      <c r="AB195" s="266" t="s">
        <v>15</v>
      </c>
      <c r="AC195" s="266" t="s">
        <v>8</v>
      </c>
      <c r="AD195" s="266" t="s">
        <v>9</v>
      </c>
      <c r="AE195" s="266" t="s">
        <v>234</v>
      </c>
      <c r="AF195" s="266" t="s">
        <v>56</v>
      </c>
      <c r="AG195" s="266" t="s">
        <v>57</v>
      </c>
      <c r="AH195" s="266" t="s">
        <v>58</v>
      </c>
      <c r="AI195" s="266" t="s">
        <v>77</v>
      </c>
      <c r="AJ195" s="267" t="s">
        <v>204</v>
      </c>
      <c r="AK195" s="266" t="s">
        <v>16</v>
      </c>
      <c r="AL195" s="266" t="s">
        <v>13</v>
      </c>
      <c r="AM195" s="266" t="s">
        <v>44</v>
      </c>
      <c r="AN195" s="266" t="s">
        <v>55</v>
      </c>
      <c r="AO195" s="266" t="s">
        <v>17</v>
      </c>
      <c r="AP195" s="266" t="s">
        <v>80</v>
      </c>
      <c r="AQ195" s="266" t="s">
        <v>81</v>
      </c>
      <c r="AR195" s="266" t="s">
        <v>82</v>
      </c>
      <c r="AS195" s="266" t="s">
        <v>83</v>
      </c>
      <c r="AT195" s="266" t="s">
        <v>45</v>
      </c>
      <c r="AU195" s="266" t="s">
        <v>43</v>
      </c>
      <c r="AV195" s="266" t="s">
        <v>12</v>
      </c>
      <c r="AW195" s="266" t="s">
        <v>0</v>
      </c>
      <c r="AX195" s="266" t="s">
        <v>11</v>
      </c>
      <c r="AY195" s="266" t="s">
        <v>10</v>
      </c>
      <c r="AZ195" s="89"/>
      <c r="BA195" s="89"/>
      <c r="BB195" s="89"/>
    </row>
    <row r="196" spans="1:54" ht="21" x14ac:dyDescent="0.35">
      <c r="A196" s="273" t="s">
        <v>251</v>
      </c>
      <c r="B196" s="139">
        <f>100-C196-D196-E196-F196-G196-H196-I196-J196-K196-L196-M196-N196-O196-P196-Q196-R196-S196-T196-U196-V196-W196-X196-Y196-Z196</f>
        <v>56.910000000000004</v>
      </c>
      <c r="C196" s="177">
        <v>1.3</v>
      </c>
      <c r="D196" s="177">
        <v>5.5</v>
      </c>
      <c r="E196" s="177">
        <v>30</v>
      </c>
      <c r="F196" s="177">
        <v>0.25</v>
      </c>
      <c r="G196" s="177">
        <v>0.04</v>
      </c>
      <c r="H196" s="177"/>
      <c r="I196" s="177"/>
      <c r="J196" s="177"/>
      <c r="K196" s="177">
        <v>1</v>
      </c>
      <c r="L196" s="177"/>
      <c r="M196" s="177">
        <v>5</v>
      </c>
      <c r="N196" s="177"/>
      <c r="O196" s="177"/>
      <c r="P196" s="177"/>
      <c r="Q196" s="177"/>
      <c r="R196" s="177"/>
      <c r="S196" s="177"/>
      <c r="T196" s="177"/>
      <c r="U196" s="177"/>
      <c r="V196" s="177"/>
      <c r="W196" s="177"/>
      <c r="X196" s="177"/>
      <c r="Y196" s="177"/>
      <c r="Z196" s="177"/>
      <c r="AA196" s="189">
        <v>55.84</v>
      </c>
      <c r="AB196" s="89">
        <v>28.0855</v>
      </c>
      <c r="AC196" s="89">
        <v>58.693399999999997</v>
      </c>
      <c r="AD196" s="89">
        <v>63.545999999999999</v>
      </c>
      <c r="AE196" s="89">
        <v>65.38</v>
      </c>
      <c r="AF196" s="89">
        <v>12.01</v>
      </c>
      <c r="AG196" s="89">
        <v>30.973762000000001</v>
      </c>
      <c r="AH196" s="89">
        <v>32.064999999999998</v>
      </c>
      <c r="AI196" s="89">
        <v>14.0067</v>
      </c>
      <c r="AJ196" s="89">
        <v>10.81</v>
      </c>
      <c r="AK196" s="89">
        <v>54.938043999999998</v>
      </c>
      <c r="AL196" s="89">
        <v>24.305</v>
      </c>
      <c r="AM196" s="89">
        <v>51.996099999999998</v>
      </c>
      <c r="AN196" s="89">
        <v>95.95</v>
      </c>
      <c r="AO196" s="89">
        <v>47.866999999999997</v>
      </c>
      <c r="AP196" s="89">
        <v>50.941499999999998</v>
      </c>
      <c r="AQ196" s="89">
        <v>92.906369999999995</v>
      </c>
      <c r="AR196" s="89">
        <v>183.84</v>
      </c>
      <c r="AS196" s="89">
        <v>180.94788</v>
      </c>
      <c r="AT196" s="89">
        <v>91.224000000000004</v>
      </c>
      <c r="AU196" s="89">
        <v>58.933194999999998</v>
      </c>
      <c r="AV196" s="89">
        <v>26.981539999999999</v>
      </c>
      <c r="AW196" s="89">
        <v>121.76</v>
      </c>
      <c r="AX196" s="89">
        <v>207.2</v>
      </c>
      <c r="AY196" s="89">
        <v>118.71</v>
      </c>
      <c r="AZ196" s="89"/>
      <c r="BA196" s="89"/>
      <c r="BB196" s="89"/>
    </row>
    <row r="197" spans="1:54" ht="21" x14ac:dyDescent="0.35">
      <c r="A197" s="89" t="s">
        <v>241</v>
      </c>
      <c r="B197" s="139">
        <f>100*((((B196)/(AA196))/(((B196)/(AA196))+((C196)/(AB196))+((D196)/(AC196))+((E196)/(AD196))+((F196)/(AE196))+((G196)/(AF196))+((H196)/(AG196))+((I196)/(AH196))+((J196)/(AI196))+((K196)/(AJ196))+((L196)/(AK196))+((M196)/(AL196))+((N196)/(AM196))+((O196)/(AN196))+((P196)/(AO196))+((Q196)/(AP196))+((R196)/(AQ196))+((S196)/(AR196))+((T196)/(AS196))+((U196)/(AT196))+((V196)/(AU196))+((W196)/(AV196))+((X196)/(AW196))+((Y196)/(AX196))+((Z196)/(AY196)))))</f>
        <v>52.625380939820332</v>
      </c>
      <c r="C197" s="139">
        <f>100*((((C196)/(AB196))/(((B196)/(AA196))+((C196)/(AB196))+((D196)/(AC196))+((E196)/(AD196))+((F196)/(AE196))+((G196)/(AF196))+((H196)/(AG196))+((I196)/(AH196))+((J196)/(AI196))+((K196)/(AJ196))+((L196)/(AK196))+((M196)/(AL196))+((N196)/(AM196))+((O196)/(AN196))+((P196)/(AO196))+((Q196)/(AP196))+((R196)/(AQ196))+((S196)/(AR196))+((T196)/(AS196))+((U196)/(AT196))+((V196)/(AU196))+((W196)/(AV196))+((X196)/(AW196))+((Y196)/(AX196))+((Z196)/(AY196)))))</f>
        <v>2.3900845744600541</v>
      </c>
      <c r="D197" s="139">
        <f>100*((((D196)/(AC196))/(((B196)/(AA196))+((C196)/(AB196))+((D196)/(AC196))+((E196)/(AD196))+((F196)/(AE196))+((G196)/(AF196))+((H196)/(AG196))+((I196)/(AH196))+((J196)/(AI196))+((K196)/(AJ196))+((L196)/(AK196))+((M196)/(AL196))+((N196)/(AM196))+((O196)/(AN196))+((P196)/(AO196))+((Q196)/(AP196))+((R196)/(AQ196))+((S196)/(AR196))+((T196)/(AS196))+((U196)/(AT196))+((V196)/(AU196))+((W196)/(AV196))+((X196)/(AW196))+((Y196)/(AX196))+((Z196)/(AY196)))))</f>
        <v>4.8386643621834065</v>
      </c>
      <c r="E197" s="139">
        <f>100*((((E196)/(AD196))/(((B196)/(AA196))+((C196)/(AB196))+((D196)/(AC196))+((E196)/(AD196))+((F196)/(AE196))+((G196)/(AF196))+((H196)/(AG196))+((I196)/(AH196))+((J196)/(AI196))+((K196)/(AJ196))+((L196)/(AK196))+((M196)/(AL196))+((N196)/(AM196))+((O196)/(AN196))+((P196)/(AO196))+((Q196)/(AP196))+((R196)/(AQ196))+((S196)/(AR196))+((T196)/(AS196))+((U196)/(AT196))+((V196)/(AU196))+((W196)/(AV196))+((X196)/(AW196))+((Y196)/(AX196))+((Z196)/(AY196)))))</f>
        <v>24.377272544903093</v>
      </c>
      <c r="F197" s="139">
        <f>100*((((F196)/(AE196))/(((B196)/(AA196))+((C196)/(AB196))+((D196)/(AC196))+((E196)/(AD196))+((F196)/(AE196))+((G196)/(AF196))+((H196)/(AG196))+((I196)/(AH196))+((J196)/(AI196))+((K196)/(AJ196))+((L196)/(AK196))+((M196)/(AL196))+((N196)/(AM196))+((O196)/(AN196))+((P196)/(AO196))+((Q196)/(AP196))+((R196)/(AQ196))+((S196)/(AR196))+((T196)/(AS196))+((U196)/(AT196))+((V196)/(AU196))+((W196)/(AV196))+((X196)/(AW196))+((Y196)/(AX196))+((Z196)/(AY196)))))</f>
        <v>0.19744546766829971</v>
      </c>
      <c r="G197" s="139">
        <f>100*((((G196)/(AF196))/(((B196)/(AA196))+((C196)/(AB196))+((D196)/(AC196))+((E196)/(AD196))+((F196)/(AE196))+((G196)/(AF196))+((H196)/(AG196))+((I196)/(AH196))+((J196)/(AI196))+((K196)/(AJ196))+((L196)/(AK196))+((M196)/(AL196))+((N196)/(AM196))+((O196)/(AN196))+((P196)/(AO196))+((Q196)/(AP196))+((R196)/(AQ196))+((S196)/(AR196))+((T196)/(AS196))+((U196)/(AT196))+((V196)/(AU196))+((W196)/(AV196))+((X196)/(AW196))+((Y196)/(AX196))+((Z196)/(AY196)))))</f>
        <v>0.17197648194708987</v>
      </c>
      <c r="H197" s="139">
        <f>100*((((H196)/(AG196))/(((B196)/(AA196))+((C196)/(AB196))+((D196)/(AC196))+((E196)/(AD196))+((F196)/(AE196))+((G196)/(AF196))+((H196)/(AG196))+((I196)/(AH196))+((J196)/(AI196))+((K196)/(AJ196))+((L196)/(AK196))+((M196)/(AL196))+((N196)/(AM196))+((O196)/(AN196))+((P196)/(AO196))+((Q196)/(AP196))+((R196)/(AQ196))+((S196)/(AR196))+((T196)/(AS196))+((U196)/(AT196))+((V196)/(AU196))+((W196)/(AV196))+((X196)/(AW196))+((Y196)/(AX196))+((Z196)/(AY196)))))</f>
        <v>0</v>
      </c>
      <c r="I197" s="139">
        <f>100*((((I196)/(AH196))/(((B196)/(AA196))+((C196)/(AB196))+((D196)/(AC196))+((E196)/(AD196))+((F196)/(AE196))+((G196)/(AF196))+((H196)/(AG196))+((I196)/(AH196))+((J196)/(AI196))+((K196)/(AJ196))+((L196)/(AK196))+((M196)/(AL196))+((N196)/(AM196))+((O196)/(AN196))+((P196)/(AO196))+((Q196)/(AP196))+((R196)/(AQ196))+((S196)/(AR196))+((T196)/(AS196))+((U196)/(AT196))+((V196)/(AU196))+((W196)/(AV196))+((X196)/(AW196))+((Y196)/(AX196))+((Z196)/(AY196)))))</f>
        <v>0</v>
      </c>
      <c r="J197" s="139">
        <f>100*((((J196)/(AI196))/(((B196)/(AA196))+((C196)/(AB196))+((D196)/(AC196))+((E196)/(AD196))+((F196)/(AE196))+((G196)/(AF196))+((H196)/(AG196))+((I196)/(AH196))+((J196)/(AI196))+((K196)/(AJ196))+((L196)/(AK196))+((M196)/(AL196))+((N196)/(AM196))+((O196)/(AN196))+((P196)/(AO196))+((Q196)/(AP196))+((R196)/(AQ196))+((S196)/(AR196))+((T196)/(AS196))+((U196)/(AT196))+((V196)/(AU196))+((W196)/(AV196))+((X196)/(AW196))+((Y196)/(AX196))+((Z196)/(AY196)))))</f>
        <v>0</v>
      </c>
      <c r="K197" s="139">
        <f>100*((((K196)/(AJ196))/(((B196)/(AA196))+((C196)/(AB196))+((D196)/(AC196))+((E196)/(AD196))+((F196)/(AE196))+((G196)/(AF196))+((H196)/(AG196))+((I196)/(AH196))+((J196)/(AI196))+((K196)/(AJ196))+((L196)/(AK196))+((M196)/(AL196))+((N196)/(AM196))+((O196)/(AN196))+((P196)/(AO196))+((Q196)/(AP196))+((R196)/(AQ196))+((S196)/(AR196))+((T196)/(AS196))+((U196)/(AT196))+((V196)/(AU196))+((W196)/(AV196))+((X196)/(AW196))+((Y196)/(AX196))+((Z196)/(AY196)))))</f>
        <v>4.7766825813703733</v>
      </c>
      <c r="L197" s="139">
        <f>100*((((L196)/(AK196))/(((B196)/(AA196))+((C196)/(AB196))+((D196)/(AC196))+((E196)/(AD196))+((F196)/(AE196))+((G196)/(AF196))+((H196)/(AG196))+((I196)/(AH196))+((J196)/(AI196))+((K196)/(AJ196))+((L196)/(AK196))+((M196)/(AL196))+((N196)/(AM196))+((O196)/(AN196))+((P196)/(AO196))+((Q196)/(AP196))+((R196)/(AQ196))+((S196)/(AR196))+((T196)/(AS196))+((U196)/(AT196))+((V196)/(AU196))+((W196)/(AV196))+((X196)/(AW196))+((Y196)/(AX196))+((Z196)/(AY196)))))</f>
        <v>0</v>
      </c>
      <c r="M197" s="139">
        <f>100*((((M196)/(AL196))/(((B196)/(AA196))+((C196)/(AB196))+((D196)/(AC196))+((E196)/(AD196))+((F196)/(AE196))+((G196)/(AF196))+((H196)/(AG196))+((I196)/(AH196))+((J196)/(AI196))+((K196)/(AJ196))+((L196)/(AK196))+((M196)/(AL196))+((N196)/(AM196))+((O196)/(AN196))+((P196)/(AO196))+((Q196)/(AP196))+((R196)/(AQ196))+((S196)/(AR196))+((T196)/(AS196))+((U196)/(AT196))+((V196)/(AU196))+((W196)/(AV196))+((X196)/(AW196))+((Y196)/(AX196))+((Z196)/(AY196)))))</f>
        <v>10.622493047647342</v>
      </c>
      <c r="N197" s="139">
        <f>100*((((N196)/(AM196))/(((B196)/(AA196))+((C196)/(AB196))+((D196)/(AC196))+((E196)/(AD196))+((F196)/(AE196))+((G196)/(AF196))+((H196)/(AG196))+((I196)/(AH196))+((J196)/(AI196))+((K196)/(AJ196))+((L196)/(AK196))+((M196)/(AL196))+((N196)/(AM196))+((O196)/(AN196))+((P196)/(AO196))+((Q196)/(AP196))+((R196)/(AQ196))+((S196)/(AR196))+((T196)/(AS196))+((U196)/(AT196))+((V196)/(AU196))+((W196)/(AV196))+((X196)/(AW196))+((Y196)/(AX196))+((Z196)/(AY196)))))</f>
        <v>0</v>
      </c>
      <c r="O197" s="139">
        <f>100*((((O196)/(AN196))/(((B196)/(AA196))+((C196)/(AB196))+((D196)/(AC196))+((E196)/(AD196))+((F196)/(AE196))+((G196)/(AF196))+((H196)/(AG196))+((I196)/(AH196))+((J196)/(AI196))+((K196)/(AJ196))+((L196)/(AK196))+((M196)/(AL196))+((N196)/(AM196))+((O196)/(AN196))+((P196)/(AO196))+((Q196)/(AP196))+((R196)/(AQ196))+((S196)/(AR196))+((T196)/(AS196))+((U196)/(AT196))+((V196)/(AU196))+((W196)/(AV196))+((X196)/(AW196))+((Y196)/(AX196))+((Z196)/(AY196)))))</f>
        <v>0</v>
      </c>
      <c r="P197" s="139">
        <f>100*((((P196)/(AO196))/(((B196)/(AA196))+((C196)/(AB196))+((D196)/(AC196))+((E196)/(AD196))+((F196)/(AE196))+((G196)/(AF196))+((H196)/(AG196))+((I196)/(AH196))+((J196)/(AI196))+((K196)/(AJ196))+((L196)/(AK196))+((M196)/(AL196))+((N196)/(AM196))+((O196)/(AN196))+((P196)/(AO196))+((Q196)/(AP196))+((R196)/(AQ196))+((S196)/(AR196))+((T196)/(AS196))+((U196)/(AT196))+((V196)/(AU196))+((W196)/(AV196))+((X196)/(AW196))+((Y196)/(AX196))+((Z196)/(AY196)))))</f>
        <v>0</v>
      </c>
      <c r="Q197" s="139">
        <f>100*((((Q196)/(AP196))/(((B196)/(AA196))+((C196)/(AB196))+((D196)/(AC196))+((E196)/(AD196))+((F196)/(AE196))+((G196)/(AF196))+((H196)/(AG196))+((I196)/(AH196))+((J196)/(AI196))+((K196)/(AJ196))+((L196)/(AK196))+((M196)/(AL196))+((N196)/(AM196))+((O196)/(AN196))+((P196)/(AO196))+((Q196)/(AP196))+((R196)/(AQ196))+((S196)/(AR196))+((T196)/(AS196))+((U196)/(AT196))+((V196)/(AU196))+((W196)/(AV196))+((X196)/(AW196))+((Y196)/(AX196))+((Z196)/(AY196)))))</f>
        <v>0</v>
      </c>
      <c r="R197" s="139">
        <f>100*((((R196)/(AQ196))/(((B196)/(AA196))+((C196)/(AB196))+((D196)/(AC196))+((E196)/(AD196))+((F196)/(AE196))+((G196)/(AF196))+((H196)/(AG196))+((I196)/(AH196))+((J196)/(AI196))+((K196)/(AJ196))+((L196)/(AK196))+((M196)/(AL196))+((N196)/(AM196))+((O196)/(AN196))+((P196)/(AO196))+((Q196)/(AP196))+((R196)/(AQ196))+((S196)/(AR196))+((T196)/(AS196))+((U196)/(AT196))+((V196)/(AU196))+((W196)/(AV196))+((X196)/(AW196))+((Y196)/(AX196))+((Z196)/(AY196)))))</f>
        <v>0</v>
      </c>
      <c r="S197" s="139">
        <f>100*((((S196)/(AR196))/(((B196)/(AA196))+((C196)/(AB196))+((D196)/(AC196))+((E196)/(AD196))+((F196)/(AE196))+((G196)/(AF196))+((H196)/(AG196))+((I196)/(AH196))+((J196)/(AI196))+((K196)/(AJ196))+((L196)/(AK196))+((M196)/(AL196))+((N196)/(AM196))+((O196)/(AN196))+((P196)/(AO196))+((Q196)/(AP196))+((R196)/(AQ196))+((S196)/(AR196))+((T196)/(AS196))+((U196)/(AT196))+((V196)/(AU196))+((W196)/(AV196))+((X196)/(AW196))+((Y196)/(AX196))+((Z196)/(AY196)))))</f>
        <v>0</v>
      </c>
      <c r="T197" s="139">
        <f>100*((((T196)/(AS196))/(((B196)/(AA196))+((C196)/(AB196))+((D196)/(AC196))+((E196)/(AD196))+((F196)/(AE196))+((G196)/(AF196))+((H196)/(AG196))+((I196)/(AH196))+((J196)/(AI196))+((K196)/(AJ196))+((L196)/(AK196))+((M196)/(AL196))+((N196)/(AM196))+((O196)/(AN196))+((P196)/(AO196))+((Q196)/(AP196))+((R196)/(AQ196))+((S196)/(AR196))+((T196)/(AS196))+((U196)/(AT196))+((V196)/(AU196))+((W196)/(AV196))+((X196)/(AW196))+((Y196)/(AX196))+((Z196)/(AY196)))))</f>
        <v>0</v>
      </c>
      <c r="U197" s="139">
        <f>100*((((U196)/(AT196))/(((B196)/(AA196))+((C196)/(AB196))+((D196)/(AC196))+((E196)/(AD196))+((F196)/(AE196))+((G196)/(AF196))+((H196)/(AG196))+((I196)/(AH196))+((J196)/(AI196))+((K196)/(AJ196))+((L196)/(AK196))+((M196)/(AL196))+((N196)/(AM196))+((O196)/(AN196))+((P196)/(AO196))+((Q196)/(AP196))+((R196)/(AQ196))+((S196)/(AR196))+((T196)/(AS196))+((U196)/(AT196))+((V196)/(AU196))+((W196)/(AV196))+((X196)/(AW196))+((Y196)/(AX196))+((Z196)/(AY196)))))</f>
        <v>0</v>
      </c>
      <c r="V197" s="139">
        <f>100*((((V196)/(AU196))/(((B196)/(AA196))+((C196)/(AB196))+((D196)/(AC196))+((E196)/(AD196))+((F196)/(AE196))+((G196)/(AF196))+((H196)/(AG196))+((I196)/(AH196))+((J196)/(AI196))+((K196)/(AJ196))+((L196)/(AK196))+((M196)/(AL196))+((N196)/(AM196))+((O196)/(AN196))+((P196)/(AO196))+((Q196)/(AP196))+((R196)/(AQ196))+((S196)/(AR196))+((T196)/(AS196))+((U196)/(AT196))+((V196)/(AU196))+((W196)/(AV196))+((X196)/(AW196))+((Y196)/(AX196))+((Z196)/(AY196)))))</f>
        <v>0</v>
      </c>
      <c r="W197" s="139">
        <f>100*((((W196)/(AV196))/(((B196)/(AA196))+((C196)/(AB196))+((D196)/(AC196))+((E196)/(AD196))+((F196)/(AE196))+((G196)/(AF196))+((H196)/(AG196))+((I196)/(AH196))+((J196)/(AI196))+((K196)/(AJ196))+((L196)/(AK196))+((M196)/(AL196))+((N196)/(AM196))+((O196)/(AN196))+((P196)/(AO196))+((Q196)/(AP196))+((R196)/(AQ196))+((S196)/(AR196))+((T196)/(AS196))+((U196)/(AT196))+((V196)/(AU196))+((W196)/(AV196))+((X196)/(AW196))+((Y196)/(AX196))+((Z196)/(AY196)))))</f>
        <v>0</v>
      </c>
      <c r="X197" s="89">
        <f>100*((((X196)/(AW196))/(((B196)/(AA196))+((C196)/(AB196))+((D196)/(AC196))+((E196)/(AD196))+((F196)/(AE196))+((G196)/(AF196))+((H196)/(AG196))+((I196)/(AH196))+((J196)/(AI196))+((K196)/(AJ196))+((L196)/(AK196))+((M196)/(AL196))+((N196)/(AM196))+((O196)/(AN196))+((P196)/(AO196))+((Q196)/(AP196))+((R196)/(AQ196))+((S196)/(AR196))+((T196)/(AS196))+((U196)/(AT196))+((V196)/(AU196))+((W196)/(AV196))+((X196)/(AW196))+((Y196)/(AX196))+((Z196)/(AY196)))))</f>
        <v>0</v>
      </c>
      <c r="Y197" s="89">
        <f>100*((((Y196)/(AX196))/(((B196)/(AA196))+((C196)/(AB196))+((D196)/(AC196))+((E196)/(AD196))+((F196)/(AE196))+((G196)/(AF196))+((H196)/(AG196))+((I196)/(AH196))+((J196)/(AI196))+((K196)/(AJ196))+((L196)/(AK196))+((M196)/(AL196))+((N196)/(AM196))+((O196)/(AN196))+((P196)/(AO196))+((Q196)/(AP196))+((R196)/(AQ196))+((S196)/(AR196))+((T196)/(AS196))+((U196)/(AT196))+((V196)/(AU196))+((W196)/(AV196))+((X196)/(AW196))+((Y196)/(AX196))+((Z196)/(AY196)))))</f>
        <v>0</v>
      </c>
      <c r="Z197" s="89">
        <f>100*((((Z196)/(AY196))/(((B196)/(AA196))+((C196)/(AB196))+((D196)/(AC196))+((E196)/(AD196))+((F196)/(AE196))+((G196)/(AF196))+((H196)/(AG196))+((I196)/(AH196))+((J196)/(AI196))+((K196)/(AJ196))+((L196)/(AK196))+((M196)/(AL196))+((N196)/(AM196))+((O196)/(AN196))+((P196)/(AO196))+((Q196)/(AP196))+((R196)/(AQ196))+((S196)/(AR196))+((T196)/(AS196))+((U196)/(AT196))+((V196)/(AU196))+((W196)/(AV196))+((X196)/(AW196))+((Y196)/(AX196))+((Z196)/(AY196)))))</f>
        <v>0</v>
      </c>
      <c r="AA197" s="89"/>
      <c r="AB197" s="89"/>
      <c r="AC197" s="89"/>
      <c r="AD197" s="89"/>
      <c r="AE197" s="89"/>
      <c r="AF197" s="89"/>
      <c r="AG197" s="89"/>
      <c r="AH197" s="89"/>
      <c r="AI197" s="89"/>
      <c r="AJ197" s="89"/>
      <c r="AK197" s="89"/>
      <c r="AL197" s="89"/>
      <c r="AM197" s="89"/>
      <c r="AN197" s="89"/>
      <c r="AO197" s="89"/>
      <c r="AP197" s="89"/>
      <c r="AQ197" s="89"/>
      <c r="AR197" s="89"/>
      <c r="AS197" s="89"/>
      <c r="AT197" s="89"/>
      <c r="AU197" s="89"/>
      <c r="AV197" s="89"/>
      <c r="AW197" s="89"/>
      <c r="AX197" s="89"/>
      <c r="AY197" s="89"/>
      <c r="AZ197" s="89"/>
      <c r="BA197" s="89"/>
      <c r="BB197" s="89"/>
    </row>
    <row r="198" spans="1:54" ht="21" x14ac:dyDescent="0.35">
      <c r="A198" s="89">
        <f>599-B198</f>
        <v>283.77396817047622</v>
      </c>
      <c r="B198" s="89">
        <f>599*B197/100</f>
        <v>315.22603182952378</v>
      </c>
      <c r="C198" s="89">
        <f>599*C197/100</f>
        <v>14.316606601015724</v>
      </c>
      <c r="D198" s="89">
        <f t="shared" ref="D198:Z198" si="54">599*D197/100</f>
        <v>28.983599529478607</v>
      </c>
      <c r="E198" s="89">
        <f t="shared" si="54"/>
        <v>146.01986254396951</v>
      </c>
      <c r="F198" s="89">
        <f t="shared" si="54"/>
        <v>1.1826983513331153</v>
      </c>
      <c r="G198" s="89">
        <f t="shared" si="54"/>
        <v>1.0301391268630682</v>
      </c>
      <c r="H198" s="89">
        <f t="shared" si="54"/>
        <v>0</v>
      </c>
      <c r="I198" s="89">
        <f t="shared" si="54"/>
        <v>0</v>
      </c>
      <c r="J198" s="89">
        <f t="shared" si="54"/>
        <v>0</v>
      </c>
      <c r="K198" s="89">
        <f t="shared" si="54"/>
        <v>28.612328662408537</v>
      </c>
      <c r="L198" s="89">
        <f t="shared" si="54"/>
        <v>0</v>
      </c>
      <c r="M198" s="89">
        <f t="shared" si="54"/>
        <v>63.628733355407583</v>
      </c>
      <c r="N198" s="89">
        <f t="shared" si="54"/>
        <v>0</v>
      </c>
      <c r="O198" s="89">
        <f t="shared" si="54"/>
        <v>0</v>
      </c>
      <c r="P198" s="89">
        <f t="shared" si="54"/>
        <v>0</v>
      </c>
      <c r="Q198" s="89">
        <f t="shared" si="54"/>
        <v>0</v>
      </c>
      <c r="R198" s="89">
        <f t="shared" si="54"/>
        <v>0</v>
      </c>
      <c r="S198" s="89">
        <f t="shared" si="54"/>
        <v>0</v>
      </c>
      <c r="T198" s="89">
        <f t="shared" si="54"/>
        <v>0</v>
      </c>
      <c r="U198" s="89">
        <f t="shared" si="54"/>
        <v>0</v>
      </c>
      <c r="V198" s="89">
        <f t="shared" si="54"/>
        <v>0</v>
      </c>
      <c r="W198" s="89">
        <f t="shared" si="54"/>
        <v>0</v>
      </c>
      <c r="X198" s="89">
        <f t="shared" si="54"/>
        <v>0</v>
      </c>
      <c r="Y198" s="89">
        <f t="shared" si="54"/>
        <v>0</v>
      </c>
      <c r="Z198" s="89">
        <f t="shared" si="54"/>
        <v>0</v>
      </c>
      <c r="AA198" s="89"/>
      <c r="AB198" s="89"/>
      <c r="AC198" s="89"/>
      <c r="AD198" s="89"/>
      <c r="AE198" s="89"/>
      <c r="AF198" s="89"/>
      <c r="AG198" s="89"/>
      <c r="AH198" s="89"/>
      <c r="AI198" s="89"/>
      <c r="AJ198" s="89"/>
      <c r="AK198" s="89"/>
      <c r="AL198" s="89"/>
      <c r="AM198" s="89"/>
      <c r="AN198" s="89"/>
      <c r="AO198" s="89"/>
      <c r="AP198" s="89"/>
      <c r="AQ198" s="89"/>
      <c r="AR198" s="89"/>
      <c r="AS198" s="89"/>
      <c r="AT198" s="89"/>
      <c r="AU198" s="89"/>
      <c r="AV198" s="89"/>
      <c r="AW198" s="89"/>
      <c r="AX198" s="89"/>
      <c r="AY198" s="89"/>
      <c r="AZ198" s="89"/>
      <c r="BA198" s="89"/>
      <c r="BB198" s="89"/>
    </row>
    <row r="199" spans="1:54" ht="21" x14ac:dyDescent="0.35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>
        <v>1</v>
      </c>
      <c r="R199" s="49">
        <f>Q199*100/599</f>
        <v>0.1669449081803005</v>
      </c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  <c r="AE199" s="89"/>
      <c r="AF199" s="89"/>
      <c r="AG199" s="89"/>
      <c r="AH199" s="89"/>
      <c r="AI199" s="89"/>
      <c r="AJ199" s="89"/>
      <c r="AK199" s="89"/>
      <c r="AL199" s="89"/>
      <c r="AM199" s="89"/>
      <c r="AN199" s="89"/>
      <c r="AO199" s="89"/>
      <c r="AP199" s="89"/>
      <c r="AQ199" s="89"/>
      <c r="AR199" s="89"/>
      <c r="AS199" s="89"/>
      <c r="AT199" s="89"/>
      <c r="AU199" s="89"/>
      <c r="AV199" s="89"/>
      <c r="AW199" s="89"/>
      <c r="AX199" s="89"/>
      <c r="AY199" s="89"/>
      <c r="AZ199" s="89"/>
      <c r="BA199" s="89"/>
      <c r="BB199" s="89"/>
    </row>
    <row r="200" spans="1:54" ht="21" x14ac:dyDescent="0.35">
      <c r="A200" s="89">
        <f>B200+C200+D200+E200+F200+G200+H200+I200+J200+K200+L200+M200+N200+O200+P200+Q200+R200+S200+T200+U200+V200+W200+X200+Y200+Z200</f>
        <v>3.7108898163606008</v>
      </c>
      <c r="B200" s="89"/>
      <c r="C200" s="89">
        <v>0.13900000000000001</v>
      </c>
      <c r="D200" s="89">
        <v>3.7999999999999999E-2</v>
      </c>
      <c r="E200" s="89"/>
      <c r="F200" s="89"/>
      <c r="G200" s="89">
        <v>0.1</v>
      </c>
      <c r="H200" s="89">
        <v>0.1</v>
      </c>
      <c r="I200" s="89">
        <f>I198</f>
        <v>0</v>
      </c>
      <c r="J200" s="89"/>
      <c r="K200" s="89">
        <v>0.62</v>
      </c>
      <c r="L200" s="89"/>
      <c r="M200" s="89"/>
      <c r="N200" s="89"/>
      <c r="O200" s="89">
        <v>0.38</v>
      </c>
      <c r="P200" s="89"/>
      <c r="Q200">
        <v>2</v>
      </c>
      <c r="R200" s="49">
        <f t="shared" ref="R200" si="55">Q200*100/599</f>
        <v>0.333889816360601</v>
      </c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  <c r="AG200" s="89"/>
      <c r="AH200" s="89"/>
      <c r="AI200" s="89"/>
      <c r="AJ200" s="89"/>
      <c r="AK200" s="89"/>
      <c r="AL200" s="89"/>
      <c r="AM200" s="89"/>
      <c r="AN200" s="89"/>
      <c r="AO200" s="89"/>
      <c r="AP200" s="89"/>
      <c r="AQ200" s="89"/>
      <c r="AR200" s="89"/>
      <c r="AS200" s="89"/>
      <c r="AT200" s="89"/>
      <c r="AU200" s="89"/>
      <c r="AV200" s="89"/>
      <c r="AW200" s="89"/>
      <c r="AX200" s="89"/>
      <c r="AY200" s="89"/>
      <c r="AZ200" s="89"/>
      <c r="BA200" s="89"/>
      <c r="BB200" s="89"/>
    </row>
    <row r="201" spans="1:54" ht="21" x14ac:dyDescent="0.35">
      <c r="A201" s="89" t="s">
        <v>218</v>
      </c>
      <c r="B201" s="89">
        <f>K198+O198+U198+Q198+L198+M198+P198</f>
        <v>92.24106201781612</v>
      </c>
      <c r="C201" s="89" t="s">
        <v>250</v>
      </c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>
        <v>3</v>
      </c>
      <c r="R201" s="49">
        <f>Q201*100/599</f>
        <v>0.5008347245409015</v>
      </c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  <c r="AD201" s="89"/>
      <c r="AE201" s="89"/>
      <c r="AF201" s="89"/>
      <c r="AG201" s="89"/>
      <c r="AH201" s="89"/>
      <c r="AI201" s="89"/>
      <c r="AJ201" s="89"/>
      <c r="AK201" s="89"/>
      <c r="AL201" s="89"/>
      <c r="AM201" s="89"/>
      <c r="AN201" s="89"/>
      <c r="AO201" s="89"/>
      <c r="AP201" s="89"/>
      <c r="AQ201" s="89"/>
      <c r="AR201" s="89"/>
      <c r="AS201" s="89"/>
      <c r="AT201" s="89"/>
      <c r="AU201" s="89"/>
      <c r="AV201" s="89"/>
      <c r="AW201" s="89"/>
      <c r="AX201" s="89"/>
      <c r="AY201" s="89"/>
      <c r="AZ201" s="89"/>
      <c r="BA201" s="89"/>
      <c r="BB201" s="89"/>
    </row>
    <row r="202" spans="1:54" ht="21" x14ac:dyDescent="0.35">
      <c r="A202" s="89" t="s">
        <v>237</v>
      </c>
      <c r="B202" s="89">
        <f>C198+D198+G198+H198+I198+J198+E198+F198</f>
        <v>191.53290615266002</v>
      </c>
      <c r="C202" s="89" t="s">
        <v>260</v>
      </c>
      <c r="D202" s="89"/>
      <c r="E202" s="89"/>
      <c r="F202" s="89"/>
      <c r="G202" s="89"/>
      <c r="H202" s="89"/>
      <c r="I202" s="89"/>
      <c r="J202" s="89"/>
      <c r="K202" s="89">
        <f>3-O200-U200</f>
        <v>2.62</v>
      </c>
      <c r="L202" s="89"/>
      <c r="M202" s="89"/>
      <c r="N202" s="89"/>
      <c r="O202" s="89"/>
      <c r="P202" s="89"/>
      <c r="Q202">
        <v>4</v>
      </c>
      <c r="R202" s="49">
        <f t="shared" ref="R202:R203" si="56">Q202*100/599</f>
        <v>0.667779632721202</v>
      </c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  <c r="AE202" s="89"/>
      <c r="AF202" s="89"/>
      <c r="AG202" s="89"/>
      <c r="AH202" s="89"/>
      <c r="AI202" s="89"/>
      <c r="AJ202" s="89"/>
      <c r="AK202" s="89"/>
      <c r="AL202" s="89"/>
      <c r="AM202" s="89"/>
      <c r="AN202" s="89"/>
      <c r="AO202" s="89"/>
      <c r="AP202" s="89"/>
      <c r="AQ202" s="89"/>
      <c r="AR202" s="89"/>
      <c r="AS202" s="89"/>
      <c r="AT202" s="89"/>
      <c r="AU202" s="89"/>
      <c r="AV202" s="89"/>
      <c r="AW202" s="89"/>
      <c r="AX202" s="89"/>
      <c r="AY202" s="89"/>
      <c r="AZ202" s="89"/>
      <c r="BA202" s="89"/>
      <c r="BB202" s="89"/>
    </row>
    <row r="203" spans="1:54" ht="21" x14ac:dyDescent="0.35">
      <c r="A203" s="89"/>
      <c r="B203" s="179">
        <f>B201+B202</f>
        <v>283.77396817047611</v>
      </c>
      <c r="C203" s="272" t="s">
        <v>259</v>
      </c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>
        <v>5</v>
      </c>
      <c r="R203" s="49">
        <f t="shared" si="56"/>
        <v>0.8347245409015025</v>
      </c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  <c r="AD203" s="89"/>
      <c r="AE203" s="89"/>
      <c r="AF203" s="89"/>
      <c r="AG203" s="89"/>
      <c r="AH203" s="89"/>
      <c r="AI203" s="89"/>
      <c r="AJ203" s="89"/>
      <c r="AK203" s="89"/>
      <c r="AL203" s="89"/>
      <c r="AM203" s="89"/>
      <c r="AN203" s="89"/>
      <c r="AO203" s="89"/>
      <c r="AP203" s="89"/>
      <c r="AQ203" s="89"/>
      <c r="AR203" s="89"/>
      <c r="AS203" s="89"/>
      <c r="AT203" s="89"/>
      <c r="AU203" s="89"/>
      <c r="AV203" s="89"/>
      <c r="AW203" s="89"/>
      <c r="AX203" s="89"/>
      <c r="AY203" s="89"/>
      <c r="AZ203" s="89"/>
      <c r="BA203" s="89"/>
      <c r="BB203" s="89"/>
    </row>
    <row r="204" spans="1:54" ht="21" x14ac:dyDescent="0.35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  <c r="AD204" s="89"/>
      <c r="AE204" s="89"/>
      <c r="AF204" s="89"/>
      <c r="AG204" s="89"/>
      <c r="AH204" s="89"/>
      <c r="AI204" s="89"/>
      <c r="AJ204" s="89"/>
      <c r="AK204" s="89"/>
      <c r="AL204" s="89"/>
      <c r="AM204" s="89"/>
      <c r="AN204" s="89"/>
      <c r="AO204" s="89"/>
      <c r="AP204" s="89"/>
      <c r="AQ204" s="89"/>
      <c r="AR204" s="89"/>
      <c r="AS204" s="89"/>
      <c r="AT204" s="89"/>
      <c r="AU204" s="89"/>
      <c r="AV204" s="89"/>
      <c r="AW204" s="89"/>
      <c r="AX204" s="89"/>
      <c r="AY204" s="89"/>
      <c r="AZ204" s="89"/>
      <c r="BA204" s="89"/>
      <c r="BB204" s="89"/>
    </row>
    <row r="205" spans="1:54" ht="28.5" x14ac:dyDescent="0.45">
      <c r="A205" s="271" t="s">
        <v>261</v>
      </c>
      <c r="B205" s="266" t="s">
        <v>14</v>
      </c>
      <c r="C205" s="266" t="s">
        <v>15</v>
      </c>
      <c r="D205" s="266" t="s">
        <v>8</v>
      </c>
      <c r="E205" s="266" t="s">
        <v>9</v>
      </c>
      <c r="F205" s="266" t="s">
        <v>234</v>
      </c>
      <c r="G205" s="266" t="s">
        <v>56</v>
      </c>
      <c r="H205" s="266" t="s">
        <v>57</v>
      </c>
      <c r="I205" s="266" t="s">
        <v>58</v>
      </c>
      <c r="J205" s="266" t="s">
        <v>77</v>
      </c>
      <c r="K205" s="267" t="s">
        <v>204</v>
      </c>
      <c r="L205" s="266" t="s">
        <v>16</v>
      </c>
      <c r="M205" s="266" t="s">
        <v>13</v>
      </c>
      <c r="N205" s="266" t="s">
        <v>44</v>
      </c>
      <c r="O205" s="266" t="s">
        <v>55</v>
      </c>
      <c r="P205" s="266" t="s">
        <v>17</v>
      </c>
      <c r="Q205" s="266" t="s">
        <v>80</v>
      </c>
      <c r="R205" s="266" t="s">
        <v>81</v>
      </c>
      <c r="S205" s="266" t="s">
        <v>82</v>
      </c>
      <c r="T205" s="266" t="s">
        <v>83</v>
      </c>
      <c r="U205" s="266" t="s">
        <v>45</v>
      </c>
      <c r="V205" s="266" t="s">
        <v>43</v>
      </c>
      <c r="W205" s="266" t="s">
        <v>12</v>
      </c>
      <c r="X205" s="266" t="s">
        <v>0</v>
      </c>
      <c r="Y205" s="266" t="s">
        <v>11</v>
      </c>
      <c r="Z205" s="266" t="s">
        <v>10</v>
      </c>
      <c r="AA205" s="266" t="s">
        <v>14</v>
      </c>
      <c r="AB205" s="266" t="s">
        <v>15</v>
      </c>
      <c r="AC205" s="266" t="s">
        <v>8</v>
      </c>
      <c r="AD205" s="266" t="s">
        <v>9</v>
      </c>
      <c r="AE205" s="266" t="s">
        <v>234</v>
      </c>
      <c r="AF205" s="266" t="s">
        <v>56</v>
      </c>
      <c r="AG205" s="266" t="s">
        <v>57</v>
      </c>
      <c r="AH205" s="266" t="s">
        <v>58</v>
      </c>
      <c r="AI205" s="266" t="s">
        <v>77</v>
      </c>
      <c r="AJ205" s="267" t="s">
        <v>204</v>
      </c>
      <c r="AK205" s="266" t="s">
        <v>16</v>
      </c>
      <c r="AL205" s="266" t="s">
        <v>13</v>
      </c>
      <c r="AM205" s="266" t="s">
        <v>44</v>
      </c>
      <c r="AN205" s="266" t="s">
        <v>55</v>
      </c>
      <c r="AO205" s="266" t="s">
        <v>17</v>
      </c>
      <c r="AP205" s="266" t="s">
        <v>80</v>
      </c>
      <c r="AQ205" s="266" t="s">
        <v>81</v>
      </c>
      <c r="AR205" s="266" t="s">
        <v>82</v>
      </c>
      <c r="AS205" s="266" t="s">
        <v>83</v>
      </c>
      <c r="AT205" s="266" t="s">
        <v>45</v>
      </c>
      <c r="AU205" s="266" t="s">
        <v>43</v>
      </c>
      <c r="AV205" s="266" t="s">
        <v>12</v>
      </c>
      <c r="AW205" s="266" t="s">
        <v>0</v>
      </c>
      <c r="AX205" s="266" t="s">
        <v>11</v>
      </c>
      <c r="AY205" s="266" t="s">
        <v>10</v>
      </c>
      <c r="AZ205" s="89"/>
      <c r="BA205" s="89"/>
      <c r="BB205" s="89"/>
    </row>
    <row r="206" spans="1:54" ht="21" x14ac:dyDescent="0.35">
      <c r="A206" s="273" t="s">
        <v>251</v>
      </c>
      <c r="B206" s="139">
        <f>100-C206-D206-E206-F206-G206-H206-I206-J206-K206-L206-M206-N206-O206-P206-Q206-R206-S206-T206-U206-V206-W206-X206-Y206-Z206</f>
        <v>57.76</v>
      </c>
      <c r="C206" s="177">
        <v>1.2</v>
      </c>
      <c r="D206" s="177">
        <v>2.25</v>
      </c>
      <c r="E206" s="177">
        <v>35</v>
      </c>
      <c r="F206" s="177">
        <v>0.25</v>
      </c>
      <c r="G206" s="177">
        <v>0.04</v>
      </c>
      <c r="H206" s="177"/>
      <c r="I206" s="177"/>
      <c r="J206" s="177"/>
      <c r="K206" s="177">
        <v>1</v>
      </c>
      <c r="L206" s="177"/>
      <c r="M206" s="177">
        <v>2.5</v>
      </c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77"/>
      <c r="Z206" s="177"/>
      <c r="AA206" s="189">
        <v>55.84</v>
      </c>
      <c r="AB206" s="89">
        <v>28.0855</v>
      </c>
      <c r="AC206" s="89">
        <v>58.693399999999997</v>
      </c>
      <c r="AD206" s="89">
        <v>63.545999999999999</v>
      </c>
      <c r="AE206" s="89">
        <v>65.38</v>
      </c>
      <c r="AF206" s="89">
        <v>12.01</v>
      </c>
      <c r="AG206" s="89">
        <v>30.973762000000001</v>
      </c>
      <c r="AH206" s="89">
        <v>32.064999999999998</v>
      </c>
      <c r="AI206" s="89">
        <v>14.0067</v>
      </c>
      <c r="AJ206" s="89">
        <v>10.81</v>
      </c>
      <c r="AK206" s="89">
        <v>54.938043999999998</v>
      </c>
      <c r="AL206" s="89">
        <v>24.305</v>
      </c>
      <c r="AM206" s="89">
        <v>51.996099999999998</v>
      </c>
      <c r="AN206" s="89">
        <v>95.95</v>
      </c>
      <c r="AO206" s="89">
        <v>47.866999999999997</v>
      </c>
      <c r="AP206" s="89">
        <v>50.941499999999998</v>
      </c>
      <c r="AQ206" s="89">
        <v>92.906369999999995</v>
      </c>
      <c r="AR206" s="89">
        <v>183.84</v>
      </c>
      <c r="AS206" s="89">
        <v>180.94788</v>
      </c>
      <c r="AT206" s="89">
        <v>91.224000000000004</v>
      </c>
      <c r="AU206" s="89">
        <v>58.933194999999998</v>
      </c>
      <c r="AV206" s="89">
        <v>26.981539999999999</v>
      </c>
      <c r="AW206" s="89">
        <v>121.76</v>
      </c>
      <c r="AX206" s="89">
        <v>207.2</v>
      </c>
      <c r="AY206" s="89">
        <v>118.71</v>
      </c>
      <c r="AZ206" s="89"/>
      <c r="BA206" s="89"/>
      <c r="BB206" s="89"/>
    </row>
    <row r="207" spans="1:54" ht="21" x14ac:dyDescent="0.35">
      <c r="A207" s="89" t="s">
        <v>241</v>
      </c>
      <c r="B207" s="139">
        <f>100*((((B206)/(AA206))/(((B206)/(AA206))+((C206)/(AB206))+((D206)/(AC206))+((E206)/(AD206))+((F206)/(AE206))+((G206)/(AF206))+((H206)/(AG206))+((I206)/(AH206))+((J206)/(AI206))+((K206)/(AJ206))+((L206)/(AK206))+((M206)/(AL206))+((N206)/(AM206))+((O206)/(AN206))+((P206)/(AO206))+((Q206)/(AP206))+((R206)/(AQ206))+((S206)/(AR206))+((T206)/(AS206))+((U206)/(AT206))+((V206)/(AU206))+((W206)/(AV206))+((X206)/(AW206))+((Y206)/(AX206))+((Z206)/(AY206)))))</f>
        <v>55.35169912445442</v>
      </c>
      <c r="C207" s="139">
        <f>100*((((C206)/(AB206))/(((B206)/(AA206))+((C206)/(AB206))+((D206)/(AC206))+((E206)/(AD206))+((F206)/(AE206))+((G206)/(AF206))+((H206)/(AG206))+((I206)/(AH206))+((J206)/(AI206))+((K206)/(AJ206))+((L206)/(AK206))+((M206)/(AL206))+((N206)/(AM206))+((O206)/(AN206))+((P206)/(AO206))+((Q206)/(AP206))+((R206)/(AQ206))+((S206)/(AR206))+((T206)/(AS206))+((U206)/(AT206))+((V206)/(AU206))+((W206)/(AV206))+((X206)/(AW206))+((Y206)/(AX206))+((Z206)/(AY206)))))</f>
        <v>2.2863792397010805</v>
      </c>
      <c r="D207" s="139">
        <f>100*((((D206)/(AC206))/(((B206)/(AA206))+((C206)/(AB206))+((D206)/(AC206))+((E206)/(AD206))+((F206)/(AE206))+((G206)/(AF206))+((H206)/(AG206))+((I206)/(AH206))+((J206)/(AI206))+((K206)/(AJ206))+((L206)/(AK206))+((M206)/(AL206))+((N206)/(AM206))+((O206)/(AN206))+((P206)/(AO206))+((Q206)/(AP206))+((R206)/(AQ206))+((S206)/(AR206))+((T206)/(AS206))+((U206)/(AT206))+((V206)/(AU206))+((W206)/(AV206))+((X206)/(AW206))+((Y206)/(AX206))+((Z206)/(AY206)))))</f>
        <v>2.0513625936846616</v>
      </c>
      <c r="E207" s="139">
        <f>100*((((E206)/(AD206))/(((B206)/(AA206))+((C206)/(AB206))+((D206)/(AC206))+((E206)/(AD206))+((F206)/(AE206))+((G206)/(AF206))+((H206)/(AG206))+((I206)/(AH206))+((J206)/(AI206))+((K206)/(AJ206))+((L206)/(AK206))+((M206)/(AL206))+((N206)/(AM206))+((O206)/(AN206))+((P206)/(AO206))+((Q206)/(AP206))+((R206)/(AQ206))+((S206)/(AR206))+((T206)/(AS206))+((U206)/(AT206))+((V206)/(AU206))+((W206)/(AV206))+((X206)/(AW206))+((Y206)/(AX206))+((Z206)/(AY206)))))</f>
        <v>29.473316505390638</v>
      </c>
      <c r="F207" s="139">
        <f>100*((((F206)/(AE206))/(((B206)/(AA206))+((C206)/(AB206))+((D206)/(AC206))+((E206)/(AD206))+((F206)/(AE206))+((G206)/(AF206))+((H206)/(AG206))+((I206)/(AH206))+((J206)/(AI206))+((K206)/(AJ206))+((L206)/(AK206))+((M206)/(AL206))+((N206)/(AM206))+((O206)/(AN206))+((P206)/(AO206))+((Q206)/(AP206))+((R206)/(AQ206))+((S206)/(AR206))+((T206)/(AS206))+((U206)/(AT206))+((V206)/(AU206))+((W206)/(AV206))+((X206)/(AW206))+((Y206)/(AX206))+((Z206)/(AY206)))))</f>
        <v>0.2046182068185502</v>
      </c>
      <c r="G207" s="139">
        <f>100*((((G206)/(AF206))/(((B206)/(AA206))+((C206)/(AB206))+((D206)/(AC206))+((E206)/(AD206))+((F206)/(AE206))+((G206)/(AF206))+((H206)/(AG206))+((I206)/(AH206))+((J206)/(AI206))+((K206)/(AJ206))+((L206)/(AK206))+((M206)/(AL206))+((N206)/(AM206))+((O206)/(AN206))+((P206)/(AO206))+((Q206)/(AP206))+((R206)/(AQ206))+((S206)/(AR206))+((T206)/(AS206))+((U206)/(AT206))+((V206)/(AU206))+((W206)/(AV206))+((X206)/(AW206))+((Y206)/(AX206))+((Z206)/(AY206)))))</f>
        <v>0.1782239914977094</v>
      </c>
      <c r="H207" s="139">
        <f>100*((((H206)/(AG206))/(((B206)/(AA206))+((C206)/(AB206))+((D206)/(AC206))+((E206)/(AD206))+((F206)/(AE206))+((G206)/(AF206))+((H206)/(AG206))+((I206)/(AH206))+((J206)/(AI206))+((K206)/(AJ206))+((L206)/(AK206))+((M206)/(AL206))+((N206)/(AM206))+((O206)/(AN206))+((P206)/(AO206))+((Q206)/(AP206))+((R206)/(AQ206))+((S206)/(AR206))+((T206)/(AS206))+((U206)/(AT206))+((V206)/(AU206))+((W206)/(AV206))+((X206)/(AW206))+((Y206)/(AX206))+((Z206)/(AY206)))))</f>
        <v>0</v>
      </c>
      <c r="I207" s="139">
        <f>100*((((I206)/(AH206))/(((B206)/(AA206))+((C206)/(AB206))+((D206)/(AC206))+((E206)/(AD206))+((F206)/(AE206))+((G206)/(AF206))+((H206)/(AG206))+((I206)/(AH206))+((J206)/(AI206))+((K206)/(AJ206))+((L206)/(AK206))+((M206)/(AL206))+((N206)/(AM206))+((O206)/(AN206))+((P206)/(AO206))+((Q206)/(AP206))+((R206)/(AQ206))+((S206)/(AR206))+((T206)/(AS206))+((U206)/(AT206))+((V206)/(AU206))+((W206)/(AV206))+((X206)/(AW206))+((Y206)/(AX206))+((Z206)/(AY206)))))</f>
        <v>0</v>
      </c>
      <c r="J207" s="139">
        <f>100*((((J206)/(AI206))/(((B206)/(AA206))+((C206)/(AB206))+((D206)/(AC206))+((E206)/(AD206))+((F206)/(AE206))+((G206)/(AF206))+((H206)/(AG206))+((I206)/(AH206))+((J206)/(AI206))+((K206)/(AJ206))+((L206)/(AK206))+((M206)/(AL206))+((N206)/(AM206))+((O206)/(AN206))+((P206)/(AO206))+((Q206)/(AP206))+((R206)/(AQ206))+((S206)/(AR206))+((T206)/(AS206))+((U206)/(AT206))+((V206)/(AU206))+((W206)/(AV206))+((X206)/(AW206))+((Y206)/(AX206))+((Z206)/(AY206)))))</f>
        <v>0</v>
      </c>
      <c r="K207" s="139">
        <f>100*((((K206)/(AJ206))/(((B206)/(AA206))+((C206)/(AB206))+((D206)/(AC206))+((E206)/(AD206))+((F206)/(AE206))+((G206)/(AF206))+((H206)/(AG206))+((I206)/(AH206))+((J206)/(AI206))+((K206)/(AJ206))+((L206)/(AK206))+((M206)/(AL206))+((N206)/(AM206))+((O206)/(AN206))+((P206)/(AO206))+((Q206)/(AP206))+((R206)/(AQ206))+((S206)/(AR206))+((T206)/(AS206))+((U206)/(AT206))+((V206)/(AU206))+((W206)/(AV206))+((X206)/(AW206))+((Y206)/(AX206))+((Z206)/(AY206)))))</f>
        <v>4.9502084594992821</v>
      </c>
      <c r="L207" s="139">
        <f>100*((((L206)/(AK206))/(((B206)/(AA206))+((C206)/(AB206))+((D206)/(AC206))+((E206)/(AD206))+((F206)/(AE206))+((G206)/(AF206))+((H206)/(AG206))+((I206)/(AH206))+((J206)/(AI206))+((K206)/(AJ206))+((L206)/(AK206))+((M206)/(AL206))+((N206)/(AM206))+((O206)/(AN206))+((P206)/(AO206))+((Q206)/(AP206))+((R206)/(AQ206))+((S206)/(AR206))+((T206)/(AS206))+((U206)/(AT206))+((V206)/(AU206))+((W206)/(AV206))+((X206)/(AW206))+((Y206)/(AX206))+((Z206)/(AY206)))))</f>
        <v>0</v>
      </c>
      <c r="M207" s="139">
        <f>100*((((M206)/(AL206))/(((B206)/(AA206))+((C206)/(AB206))+((D206)/(AC206))+((E206)/(AD206))+((F206)/(AE206))+((G206)/(AF206))+((H206)/(AG206))+((I206)/(AH206))+((J206)/(AI206))+((K206)/(AJ206))+((L206)/(AK206))+((M206)/(AL206))+((N206)/(AM206))+((O206)/(AN206))+((P206)/(AO206))+((Q206)/(AP206))+((R206)/(AQ206))+((S206)/(AR206))+((T206)/(AS206))+((U206)/(AT206))+((V206)/(AU206))+((W206)/(AV206))+((X206)/(AW206))+((Y206)/(AX206))+((Z206)/(AY206)))))</f>
        <v>5.5041918789536357</v>
      </c>
      <c r="N207" s="139">
        <f>100*((((N206)/(AM206))/(((B206)/(AA206))+((C206)/(AB206))+((D206)/(AC206))+((E206)/(AD206))+((F206)/(AE206))+((G206)/(AF206))+((H206)/(AG206))+((I206)/(AH206))+((J206)/(AI206))+((K206)/(AJ206))+((L206)/(AK206))+((M206)/(AL206))+((N206)/(AM206))+((O206)/(AN206))+((P206)/(AO206))+((Q206)/(AP206))+((R206)/(AQ206))+((S206)/(AR206))+((T206)/(AS206))+((U206)/(AT206))+((V206)/(AU206))+((W206)/(AV206))+((X206)/(AW206))+((Y206)/(AX206))+((Z206)/(AY206)))))</f>
        <v>0</v>
      </c>
      <c r="O207" s="139">
        <f>100*((((O206)/(AN206))/(((B206)/(AA206))+((C206)/(AB206))+((D206)/(AC206))+((E206)/(AD206))+((F206)/(AE206))+((G206)/(AF206))+((H206)/(AG206))+((I206)/(AH206))+((J206)/(AI206))+((K206)/(AJ206))+((L206)/(AK206))+((M206)/(AL206))+((N206)/(AM206))+((O206)/(AN206))+((P206)/(AO206))+((Q206)/(AP206))+((R206)/(AQ206))+((S206)/(AR206))+((T206)/(AS206))+((U206)/(AT206))+((V206)/(AU206))+((W206)/(AV206))+((X206)/(AW206))+((Y206)/(AX206))+((Z206)/(AY206)))))</f>
        <v>0</v>
      </c>
      <c r="P207" s="139">
        <f>100*((((P206)/(AO206))/(((B206)/(AA206))+((C206)/(AB206))+((D206)/(AC206))+((E206)/(AD206))+((F206)/(AE206))+((G206)/(AF206))+((H206)/(AG206))+((I206)/(AH206))+((J206)/(AI206))+((K206)/(AJ206))+((L206)/(AK206))+((M206)/(AL206))+((N206)/(AM206))+((O206)/(AN206))+((P206)/(AO206))+((Q206)/(AP206))+((R206)/(AQ206))+((S206)/(AR206))+((T206)/(AS206))+((U206)/(AT206))+((V206)/(AU206))+((W206)/(AV206))+((X206)/(AW206))+((Y206)/(AX206))+((Z206)/(AY206)))))</f>
        <v>0</v>
      </c>
      <c r="Q207" s="139">
        <f>100*((((Q206)/(AP206))/(((B206)/(AA206))+((C206)/(AB206))+((D206)/(AC206))+((E206)/(AD206))+((F206)/(AE206))+((G206)/(AF206))+((H206)/(AG206))+((I206)/(AH206))+((J206)/(AI206))+((K206)/(AJ206))+((L206)/(AK206))+((M206)/(AL206))+((N206)/(AM206))+((O206)/(AN206))+((P206)/(AO206))+((Q206)/(AP206))+((R206)/(AQ206))+((S206)/(AR206))+((T206)/(AS206))+((U206)/(AT206))+((V206)/(AU206))+((W206)/(AV206))+((X206)/(AW206))+((Y206)/(AX206))+((Z206)/(AY206)))))</f>
        <v>0</v>
      </c>
      <c r="R207" s="139">
        <f>100*((((R206)/(AQ206))/(((B206)/(AA206))+((C206)/(AB206))+((D206)/(AC206))+((E206)/(AD206))+((F206)/(AE206))+((G206)/(AF206))+((H206)/(AG206))+((I206)/(AH206))+((J206)/(AI206))+((K206)/(AJ206))+((L206)/(AK206))+((M206)/(AL206))+((N206)/(AM206))+((O206)/(AN206))+((P206)/(AO206))+((Q206)/(AP206))+((R206)/(AQ206))+((S206)/(AR206))+((T206)/(AS206))+((U206)/(AT206))+((V206)/(AU206))+((W206)/(AV206))+((X206)/(AW206))+((Y206)/(AX206))+((Z206)/(AY206)))))</f>
        <v>0</v>
      </c>
      <c r="S207" s="139">
        <f>100*((((S206)/(AR206))/(((B206)/(AA206))+((C206)/(AB206))+((D206)/(AC206))+((E206)/(AD206))+((F206)/(AE206))+((G206)/(AF206))+((H206)/(AG206))+((I206)/(AH206))+((J206)/(AI206))+((K206)/(AJ206))+((L206)/(AK206))+((M206)/(AL206))+((N206)/(AM206))+((O206)/(AN206))+((P206)/(AO206))+((Q206)/(AP206))+((R206)/(AQ206))+((S206)/(AR206))+((T206)/(AS206))+((U206)/(AT206))+((V206)/(AU206))+((W206)/(AV206))+((X206)/(AW206))+((Y206)/(AX206))+((Z206)/(AY206)))))</f>
        <v>0</v>
      </c>
      <c r="T207" s="139">
        <f>100*((((T206)/(AS206))/(((B206)/(AA206))+((C206)/(AB206))+((D206)/(AC206))+((E206)/(AD206))+((F206)/(AE206))+((G206)/(AF206))+((H206)/(AG206))+((I206)/(AH206))+((J206)/(AI206))+((K206)/(AJ206))+((L206)/(AK206))+((M206)/(AL206))+((N206)/(AM206))+((O206)/(AN206))+((P206)/(AO206))+((Q206)/(AP206))+((R206)/(AQ206))+((S206)/(AR206))+((T206)/(AS206))+((U206)/(AT206))+((V206)/(AU206))+((W206)/(AV206))+((X206)/(AW206))+((Y206)/(AX206))+((Z206)/(AY206)))))</f>
        <v>0</v>
      </c>
      <c r="U207" s="139">
        <f>100*((((U206)/(AT206))/(((B206)/(AA206))+((C206)/(AB206))+((D206)/(AC206))+((E206)/(AD206))+((F206)/(AE206))+((G206)/(AF206))+((H206)/(AG206))+((I206)/(AH206))+((J206)/(AI206))+((K206)/(AJ206))+((L206)/(AK206))+((M206)/(AL206))+((N206)/(AM206))+((O206)/(AN206))+((P206)/(AO206))+((Q206)/(AP206))+((R206)/(AQ206))+((S206)/(AR206))+((T206)/(AS206))+((U206)/(AT206))+((V206)/(AU206))+((W206)/(AV206))+((X206)/(AW206))+((Y206)/(AX206))+((Z206)/(AY206)))))</f>
        <v>0</v>
      </c>
      <c r="V207" s="139">
        <f>100*((((V206)/(AU206))/(((B206)/(AA206))+((C206)/(AB206))+((D206)/(AC206))+((E206)/(AD206))+((F206)/(AE206))+((G206)/(AF206))+((H206)/(AG206))+((I206)/(AH206))+((J206)/(AI206))+((K206)/(AJ206))+((L206)/(AK206))+((M206)/(AL206))+((N206)/(AM206))+((O206)/(AN206))+((P206)/(AO206))+((Q206)/(AP206))+((R206)/(AQ206))+((S206)/(AR206))+((T206)/(AS206))+((U206)/(AT206))+((V206)/(AU206))+((W206)/(AV206))+((X206)/(AW206))+((Y206)/(AX206))+((Z206)/(AY206)))))</f>
        <v>0</v>
      </c>
      <c r="W207" s="139">
        <f>100*((((W206)/(AV206))/(((B206)/(AA206))+((C206)/(AB206))+((D206)/(AC206))+((E206)/(AD206))+((F206)/(AE206))+((G206)/(AF206))+((H206)/(AG206))+((I206)/(AH206))+((J206)/(AI206))+((K206)/(AJ206))+((L206)/(AK206))+((M206)/(AL206))+((N206)/(AM206))+((O206)/(AN206))+((P206)/(AO206))+((Q206)/(AP206))+((R206)/(AQ206))+((S206)/(AR206))+((T206)/(AS206))+((U206)/(AT206))+((V206)/(AU206))+((W206)/(AV206))+((X206)/(AW206))+((Y206)/(AX206))+((Z206)/(AY206)))))</f>
        <v>0</v>
      </c>
      <c r="X207" s="89">
        <f>100*((((X206)/(AW206))/(((B206)/(AA206))+((C206)/(AB206))+((D206)/(AC206))+((E206)/(AD206))+((F206)/(AE206))+((G206)/(AF206))+((H206)/(AG206))+((I206)/(AH206))+((J206)/(AI206))+((K206)/(AJ206))+((L206)/(AK206))+((M206)/(AL206))+((N206)/(AM206))+((O206)/(AN206))+((P206)/(AO206))+((Q206)/(AP206))+((R206)/(AQ206))+((S206)/(AR206))+((T206)/(AS206))+((U206)/(AT206))+((V206)/(AU206))+((W206)/(AV206))+((X206)/(AW206))+((Y206)/(AX206))+((Z206)/(AY206)))))</f>
        <v>0</v>
      </c>
      <c r="Y207" s="89">
        <f>100*((((Y206)/(AX206))/(((B206)/(AA206))+((C206)/(AB206))+((D206)/(AC206))+((E206)/(AD206))+((F206)/(AE206))+((G206)/(AF206))+((H206)/(AG206))+((I206)/(AH206))+((J206)/(AI206))+((K206)/(AJ206))+((L206)/(AK206))+((M206)/(AL206))+((N206)/(AM206))+((O206)/(AN206))+((P206)/(AO206))+((Q206)/(AP206))+((R206)/(AQ206))+((S206)/(AR206))+((T206)/(AS206))+((U206)/(AT206))+((V206)/(AU206))+((W206)/(AV206))+((X206)/(AW206))+((Y206)/(AX206))+((Z206)/(AY206)))))</f>
        <v>0</v>
      </c>
      <c r="Z207" s="89">
        <f>100*((((Z206)/(AY206))/(((B206)/(AA206))+((C206)/(AB206))+((D206)/(AC206))+((E206)/(AD206))+((F206)/(AE206))+((G206)/(AF206))+((H206)/(AG206))+((I206)/(AH206))+((J206)/(AI206))+((K206)/(AJ206))+((L206)/(AK206))+((M206)/(AL206))+((N206)/(AM206))+((O206)/(AN206))+((P206)/(AO206))+((Q206)/(AP206))+((R206)/(AQ206))+((S206)/(AR206))+((T206)/(AS206))+((U206)/(AT206))+((V206)/(AU206))+((W206)/(AV206))+((X206)/(AW206))+((Y206)/(AX206))+((Z206)/(AY206)))))</f>
        <v>0</v>
      </c>
      <c r="AA207" s="89"/>
      <c r="AB207" s="89"/>
      <c r="AC207" s="89"/>
      <c r="AD207" s="89"/>
      <c r="AE207" s="89"/>
      <c r="AF207" s="89"/>
      <c r="AG207" s="89"/>
      <c r="AH207" s="89"/>
      <c r="AI207" s="89"/>
      <c r="AJ207" s="89"/>
      <c r="AK207" s="89"/>
      <c r="AL207" s="89"/>
      <c r="AM207" s="89"/>
      <c r="AN207" s="89"/>
      <c r="AO207" s="89"/>
      <c r="AP207" s="89"/>
      <c r="AQ207" s="89"/>
      <c r="AR207" s="89"/>
      <c r="AS207" s="89"/>
      <c r="AT207" s="89"/>
      <c r="AU207" s="89"/>
      <c r="AV207" s="89"/>
      <c r="AW207" s="89"/>
      <c r="AX207" s="89"/>
      <c r="AY207" s="89"/>
      <c r="AZ207" s="89"/>
      <c r="BA207" s="89"/>
      <c r="BB207" s="89"/>
    </row>
    <row r="208" spans="1:54" ht="21" x14ac:dyDescent="0.35">
      <c r="A208" s="89">
        <f>599-B208</f>
        <v>267.44332224451807</v>
      </c>
      <c r="B208" s="89">
        <f>599*B207/100</f>
        <v>331.55667775548193</v>
      </c>
      <c r="C208" s="89">
        <f>599*C207/100</f>
        <v>13.695411645809472</v>
      </c>
      <c r="D208" s="89">
        <f t="shared" ref="D208:Z208" si="57">599*D207/100</f>
        <v>12.287661936171123</v>
      </c>
      <c r="E208" s="89">
        <f t="shared" si="57"/>
        <v>176.54516586728991</v>
      </c>
      <c r="F208" s="89">
        <f t="shared" si="57"/>
        <v>1.2256630588431157</v>
      </c>
      <c r="G208" s="89">
        <f t="shared" si="57"/>
        <v>1.0675617090712792</v>
      </c>
      <c r="H208" s="89">
        <f t="shared" si="57"/>
        <v>0</v>
      </c>
      <c r="I208" s="89">
        <f t="shared" si="57"/>
        <v>0</v>
      </c>
      <c r="J208" s="89">
        <f t="shared" si="57"/>
        <v>0</v>
      </c>
      <c r="K208" s="89">
        <f t="shared" si="57"/>
        <v>29.6517486724007</v>
      </c>
      <c r="L208" s="89">
        <f t="shared" si="57"/>
        <v>0</v>
      </c>
      <c r="M208" s="89">
        <f t="shared" si="57"/>
        <v>32.970109354932276</v>
      </c>
      <c r="N208" s="89">
        <f t="shared" si="57"/>
        <v>0</v>
      </c>
      <c r="O208" s="89">
        <f t="shared" si="57"/>
        <v>0</v>
      </c>
      <c r="P208" s="89">
        <f t="shared" si="57"/>
        <v>0</v>
      </c>
      <c r="Q208" s="89">
        <f t="shared" si="57"/>
        <v>0</v>
      </c>
      <c r="R208" s="89">
        <f t="shared" si="57"/>
        <v>0</v>
      </c>
      <c r="S208" s="89">
        <f t="shared" si="57"/>
        <v>0</v>
      </c>
      <c r="T208" s="89">
        <f t="shared" si="57"/>
        <v>0</v>
      </c>
      <c r="U208" s="89">
        <f t="shared" si="57"/>
        <v>0</v>
      </c>
      <c r="V208" s="89">
        <f t="shared" si="57"/>
        <v>0</v>
      </c>
      <c r="W208" s="89">
        <f t="shared" si="57"/>
        <v>0</v>
      </c>
      <c r="X208" s="89">
        <f t="shared" si="57"/>
        <v>0</v>
      </c>
      <c r="Y208" s="89">
        <f t="shared" si="57"/>
        <v>0</v>
      </c>
      <c r="Z208" s="89">
        <f t="shared" si="57"/>
        <v>0</v>
      </c>
      <c r="AA208" s="89"/>
      <c r="AB208" s="89"/>
      <c r="AC208" s="89"/>
      <c r="AD208" s="89"/>
      <c r="AE208" s="89"/>
      <c r="AF208" s="89"/>
      <c r="AG208" s="89"/>
      <c r="AH208" s="89"/>
      <c r="AI208" s="89"/>
      <c r="AJ208" s="89"/>
      <c r="AK208" s="89"/>
      <c r="AL208" s="89"/>
      <c r="AM208" s="89"/>
      <c r="AN208" s="89"/>
      <c r="AO208" s="89"/>
      <c r="AP208" s="89"/>
      <c r="AQ208" s="89"/>
      <c r="AR208" s="89"/>
      <c r="AS208" s="89"/>
      <c r="AT208" s="89"/>
      <c r="AU208" s="89"/>
      <c r="AV208" s="89"/>
      <c r="AW208" s="89"/>
      <c r="AX208" s="89"/>
      <c r="AY208" s="89"/>
      <c r="AZ208" s="89"/>
      <c r="BA208" s="89"/>
      <c r="BB208" s="89"/>
    </row>
    <row r="209" spans="1:54" ht="21" x14ac:dyDescent="0.35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>
        <v>1</v>
      </c>
      <c r="R209" s="49">
        <f>Q209*100/599</f>
        <v>0.1669449081803005</v>
      </c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89"/>
      <c r="AN209" s="89"/>
      <c r="AO209" s="89"/>
      <c r="AP209" s="89"/>
      <c r="AQ209" s="89"/>
      <c r="AR209" s="89"/>
      <c r="AS209" s="89"/>
      <c r="AT209" s="89"/>
      <c r="AU209" s="89"/>
      <c r="AV209" s="89"/>
      <c r="AW209" s="89"/>
      <c r="AX209" s="89"/>
      <c r="AY209" s="89"/>
      <c r="AZ209" s="89"/>
      <c r="BA209" s="89"/>
      <c r="BB209" s="89"/>
    </row>
    <row r="210" spans="1:54" ht="21" x14ac:dyDescent="0.35">
      <c r="A210" s="89">
        <f>B210+C210+D210+E210+F210+G210+H210+I210+J210+K210+L210+M210+N210+O210+P210+Q210+R210+S210+T210+U210+V210+W210+X210+Y210+Z210</f>
        <v>3.7108898163606008</v>
      </c>
      <c r="B210" s="89"/>
      <c r="C210" s="89">
        <v>0.13900000000000001</v>
      </c>
      <c r="D210" s="89">
        <v>3.7999999999999999E-2</v>
      </c>
      <c r="E210" s="89"/>
      <c r="F210" s="89"/>
      <c r="G210" s="89">
        <v>0.1</v>
      </c>
      <c r="H210" s="89">
        <v>0.1</v>
      </c>
      <c r="I210" s="89">
        <f>I208</f>
        <v>0</v>
      </c>
      <c r="J210" s="89"/>
      <c r="K210" s="89">
        <v>0.62</v>
      </c>
      <c r="L210" s="89"/>
      <c r="M210" s="89"/>
      <c r="N210" s="89"/>
      <c r="O210" s="89">
        <v>0.38</v>
      </c>
      <c r="P210" s="89"/>
      <c r="Q210">
        <v>2</v>
      </c>
      <c r="R210" s="49">
        <f t="shared" ref="R210" si="58">Q210*100/599</f>
        <v>0.333889816360601</v>
      </c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  <c r="AD210" s="89"/>
      <c r="AE210" s="89"/>
      <c r="AF210" s="89"/>
      <c r="AG210" s="89"/>
      <c r="AH210" s="89"/>
      <c r="AI210" s="89"/>
      <c r="AJ210" s="89"/>
      <c r="AK210" s="89"/>
      <c r="AL210" s="89"/>
      <c r="AM210" s="89"/>
      <c r="AN210" s="89"/>
      <c r="AO210" s="89"/>
      <c r="AP210" s="89"/>
      <c r="AQ210" s="89"/>
      <c r="AR210" s="89"/>
      <c r="AS210" s="89"/>
      <c r="AT210" s="89"/>
      <c r="AU210" s="89"/>
      <c r="AV210" s="89"/>
      <c r="AW210" s="89"/>
      <c r="AX210" s="89"/>
      <c r="AY210" s="89"/>
      <c r="AZ210" s="89"/>
      <c r="BA210" s="89"/>
      <c r="BB210" s="89"/>
    </row>
    <row r="211" spans="1:54" ht="21" x14ac:dyDescent="0.35">
      <c r="A211" s="89" t="s">
        <v>218</v>
      </c>
      <c r="B211" s="89">
        <f>K208+O208+U208+Q208+L208+M208+P208</f>
        <v>62.621858027332976</v>
      </c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>
        <v>3</v>
      </c>
      <c r="R211" s="49">
        <f>Q211*100/599</f>
        <v>0.5008347245409015</v>
      </c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  <c r="AD211" s="89"/>
      <c r="AE211" s="89"/>
      <c r="AF211" s="89"/>
      <c r="AG211" s="89"/>
      <c r="AH211" s="89"/>
      <c r="AI211" s="89"/>
      <c r="AJ211" s="89"/>
      <c r="AK211" s="89"/>
      <c r="AL211" s="89"/>
      <c r="AM211" s="89"/>
      <c r="AN211" s="89"/>
      <c r="AO211" s="89"/>
      <c r="AP211" s="89"/>
      <c r="AQ211" s="89"/>
      <c r="AR211" s="89"/>
      <c r="AS211" s="89"/>
      <c r="AT211" s="89"/>
      <c r="AU211" s="89"/>
      <c r="AV211" s="89"/>
      <c r="AW211" s="89"/>
      <c r="AX211" s="89"/>
      <c r="AY211" s="89"/>
      <c r="AZ211" s="89"/>
      <c r="BA211" s="89"/>
      <c r="BB211" s="89"/>
    </row>
    <row r="212" spans="1:54" ht="21" x14ac:dyDescent="0.35">
      <c r="A212" s="89" t="s">
        <v>237</v>
      </c>
      <c r="B212" s="89">
        <f>C208+D208+G208+H208+I208+J208+E208+F208</f>
        <v>204.82146421718488</v>
      </c>
      <c r="C212" s="89" t="s">
        <v>262</v>
      </c>
      <c r="D212" s="89"/>
      <c r="E212" s="89"/>
      <c r="F212" s="89"/>
      <c r="G212" s="89"/>
      <c r="H212" s="89"/>
      <c r="I212" s="89"/>
      <c r="J212" s="89"/>
      <c r="K212" s="89">
        <f>3-O210-U210</f>
        <v>2.62</v>
      </c>
      <c r="L212" s="89"/>
      <c r="M212" s="89"/>
      <c r="N212" s="89"/>
      <c r="O212" s="89"/>
      <c r="P212" s="89"/>
      <c r="Q212">
        <v>4</v>
      </c>
      <c r="R212" s="49">
        <f t="shared" ref="R212:R213" si="59">Q212*100/599</f>
        <v>0.667779632721202</v>
      </c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  <c r="AD212" s="89"/>
      <c r="AE212" s="89"/>
      <c r="AF212" s="89"/>
      <c r="AG212" s="89"/>
      <c r="AH212" s="89"/>
      <c r="AI212" s="89"/>
      <c r="AJ212" s="89"/>
      <c r="AK212" s="89"/>
      <c r="AL212" s="89"/>
      <c r="AM212" s="89"/>
      <c r="AN212" s="89"/>
      <c r="AO212" s="89"/>
      <c r="AP212" s="89"/>
      <c r="AQ212" s="89"/>
      <c r="AR212" s="89"/>
      <c r="AS212" s="89"/>
      <c r="AT212" s="89"/>
      <c r="AU212" s="89"/>
      <c r="AV212" s="89"/>
      <c r="AW212" s="89"/>
      <c r="AX212" s="89"/>
      <c r="AY212" s="89"/>
      <c r="AZ212" s="89"/>
      <c r="BA212" s="89"/>
      <c r="BB212" s="89"/>
    </row>
    <row r="213" spans="1:54" ht="21" x14ac:dyDescent="0.35">
      <c r="A213" s="89"/>
      <c r="B213" s="179">
        <f>B211+B212</f>
        <v>267.44332224451784</v>
      </c>
      <c r="C213" s="272" t="s">
        <v>263</v>
      </c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>
        <v>5</v>
      </c>
      <c r="R213" s="49">
        <f t="shared" si="59"/>
        <v>0.8347245409015025</v>
      </c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  <c r="AD213" s="89"/>
      <c r="AE213" s="89"/>
      <c r="AF213" s="89"/>
      <c r="AG213" s="89"/>
      <c r="AH213" s="89"/>
      <c r="AI213" s="89"/>
      <c r="AJ213" s="89"/>
      <c r="AK213" s="89"/>
      <c r="AL213" s="89"/>
      <c r="AM213" s="89"/>
      <c r="AN213" s="89"/>
      <c r="AO213" s="89"/>
      <c r="AP213" s="89"/>
      <c r="AQ213" s="89"/>
      <c r="AR213" s="89"/>
      <c r="AS213" s="89"/>
      <c r="AT213" s="89"/>
      <c r="AU213" s="89"/>
      <c r="AV213" s="89"/>
      <c r="AW213" s="89"/>
      <c r="AX213" s="89"/>
      <c r="AY213" s="89"/>
      <c r="AZ213" s="89"/>
      <c r="BA213" s="89"/>
      <c r="BB213" s="89"/>
    </row>
    <row r="214" spans="1:54" ht="21" x14ac:dyDescent="0.35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  <c r="AD214" s="89"/>
      <c r="AE214" s="89"/>
      <c r="AF214" s="89"/>
      <c r="AG214" s="89"/>
      <c r="AH214" s="89"/>
      <c r="AI214" s="89"/>
      <c r="AJ214" s="89"/>
      <c r="AK214" s="89"/>
      <c r="AL214" s="89"/>
      <c r="AM214" s="89"/>
      <c r="AN214" s="89"/>
      <c r="AO214" s="89"/>
      <c r="AP214" s="89"/>
      <c r="AQ214" s="89"/>
      <c r="AR214" s="89"/>
      <c r="AS214" s="89"/>
      <c r="AT214" s="89"/>
      <c r="AU214" s="89"/>
      <c r="AV214" s="89"/>
      <c r="AW214" s="89"/>
      <c r="AX214" s="89"/>
      <c r="AY214" s="89"/>
      <c r="AZ214" s="89"/>
      <c r="BA214" s="89"/>
      <c r="BB214" s="89"/>
    </row>
    <row r="215" spans="1:54" ht="21" x14ac:dyDescent="0.35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  <c r="AD215" s="89"/>
      <c r="AE215" s="89"/>
      <c r="AF215" s="89"/>
      <c r="AG215" s="89"/>
      <c r="AH215" s="89"/>
      <c r="AI215" s="89"/>
      <c r="AJ215" s="89"/>
      <c r="AK215" s="89"/>
      <c r="AL215" s="89"/>
      <c r="AM215" s="89"/>
      <c r="AN215" s="89"/>
      <c r="AO215" s="89"/>
      <c r="AP215" s="89"/>
      <c r="AQ215" s="89"/>
      <c r="AR215" s="89"/>
      <c r="AS215" s="89"/>
      <c r="AT215" s="89"/>
      <c r="AU215" s="89"/>
      <c r="AV215" s="89"/>
      <c r="AW215" s="89"/>
      <c r="AX215" s="89"/>
      <c r="AY215" s="89"/>
      <c r="AZ215" s="89"/>
      <c r="BA215" s="89"/>
      <c r="BB215" s="89"/>
    </row>
    <row r="216" spans="1:54" ht="21" x14ac:dyDescent="0.35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  <c r="AD216" s="89"/>
      <c r="AE216" s="89"/>
      <c r="AF216" s="89"/>
      <c r="AG216" s="89"/>
      <c r="AH216" s="89"/>
      <c r="AI216" s="89"/>
      <c r="AJ216" s="89"/>
      <c r="AK216" s="89"/>
      <c r="AL216" s="89"/>
      <c r="AM216" s="89"/>
      <c r="AN216" s="89"/>
      <c r="AO216" s="89"/>
      <c r="AP216" s="89"/>
      <c r="AQ216" s="89"/>
      <c r="AR216" s="89"/>
      <c r="AS216" s="89"/>
      <c r="AT216" s="89"/>
      <c r="AU216" s="89"/>
      <c r="AV216" s="89"/>
      <c r="AW216" s="89"/>
      <c r="AX216" s="89"/>
      <c r="AY216" s="89"/>
      <c r="AZ216" s="89"/>
      <c r="BA216" s="89"/>
      <c r="BB216" s="89"/>
    </row>
    <row r="217" spans="1:54" ht="21" x14ac:dyDescent="0.35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  <c r="AC217" s="89"/>
      <c r="AD217" s="89"/>
      <c r="AE217" s="89"/>
      <c r="AF217" s="89"/>
      <c r="AG217" s="89"/>
      <c r="AH217" s="89"/>
      <c r="AI217" s="89"/>
      <c r="AJ217" s="89"/>
      <c r="AK217" s="89"/>
      <c r="AL217" s="89"/>
      <c r="AM217" s="89"/>
      <c r="AN217" s="89"/>
      <c r="AO217" s="89"/>
      <c r="AP217" s="89"/>
      <c r="AQ217" s="89"/>
      <c r="AR217" s="89"/>
      <c r="AS217" s="89"/>
      <c r="AT217" s="89"/>
      <c r="AU217" s="89"/>
      <c r="AV217" s="89"/>
      <c r="AW217" s="89"/>
      <c r="AX217" s="89"/>
      <c r="AY217" s="89"/>
      <c r="AZ217" s="89"/>
      <c r="BA217" s="89"/>
      <c r="BB217" s="89"/>
    </row>
    <row r="218" spans="1:54" ht="21" x14ac:dyDescent="0.35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  <c r="AC218" s="89"/>
      <c r="AD218" s="89"/>
      <c r="AE218" s="89"/>
      <c r="AF218" s="89"/>
      <c r="AG218" s="89"/>
      <c r="AH218" s="89"/>
      <c r="AI218" s="89"/>
      <c r="AJ218" s="89"/>
      <c r="AK218" s="89"/>
      <c r="AL218" s="89"/>
      <c r="AM218" s="89"/>
      <c r="AN218" s="89"/>
      <c r="AO218" s="89"/>
      <c r="AP218" s="89"/>
      <c r="AQ218" s="89"/>
      <c r="AR218" s="89"/>
      <c r="AS218" s="89"/>
      <c r="AT218" s="89"/>
      <c r="AU218" s="89"/>
      <c r="AV218" s="89"/>
      <c r="AW218" s="89"/>
      <c r="AX218" s="89"/>
      <c r="AY218" s="89"/>
      <c r="AZ218" s="89"/>
      <c r="BA218" s="89"/>
      <c r="BB218" s="89"/>
    </row>
    <row r="219" spans="1:54" ht="21" x14ac:dyDescent="0.35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  <c r="AC219" s="89"/>
      <c r="AD219" s="89"/>
      <c r="AE219" s="89"/>
      <c r="AF219" s="89"/>
      <c r="AG219" s="89"/>
      <c r="AH219" s="89"/>
      <c r="AI219" s="89"/>
      <c r="AJ219" s="89"/>
      <c r="AK219" s="89"/>
      <c r="AL219" s="89"/>
      <c r="AM219" s="89"/>
      <c r="AN219" s="89"/>
      <c r="AO219" s="89"/>
      <c r="AP219" s="89"/>
      <c r="AQ219" s="89"/>
      <c r="AR219" s="89"/>
      <c r="AS219" s="89"/>
      <c r="AT219" s="89"/>
      <c r="AU219" s="89"/>
      <c r="AV219" s="89"/>
      <c r="AW219" s="89"/>
      <c r="AX219" s="89"/>
      <c r="AY219" s="89"/>
      <c r="AZ219" s="89"/>
      <c r="BA219" s="89"/>
      <c r="BB219" s="89"/>
    </row>
    <row r="220" spans="1:54" ht="21" x14ac:dyDescent="0.35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  <c r="AD220" s="89"/>
      <c r="AE220" s="89"/>
      <c r="AF220" s="89"/>
      <c r="AG220" s="89"/>
      <c r="AH220" s="89"/>
      <c r="AI220" s="89"/>
      <c r="AJ220" s="89"/>
      <c r="AK220" s="89"/>
      <c r="AL220" s="89"/>
      <c r="AM220" s="89"/>
      <c r="AN220" s="89"/>
      <c r="AO220" s="89"/>
      <c r="AP220" s="89"/>
      <c r="AQ220" s="89"/>
      <c r="AR220" s="89"/>
      <c r="AS220" s="89"/>
      <c r="AT220" s="89"/>
      <c r="AU220" s="89"/>
      <c r="AV220" s="89"/>
      <c r="AW220" s="89"/>
      <c r="AX220" s="89"/>
      <c r="AY220" s="89"/>
      <c r="AZ220" s="89"/>
      <c r="BA220" s="89"/>
      <c r="BB220" s="89"/>
    </row>
    <row r="221" spans="1:54" ht="21" x14ac:dyDescent="0.35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  <c r="AC221" s="89"/>
      <c r="AD221" s="89"/>
      <c r="AE221" s="89"/>
      <c r="AF221" s="89"/>
      <c r="AG221" s="89"/>
      <c r="AH221" s="89"/>
      <c r="AI221" s="89"/>
      <c r="AJ221" s="89"/>
      <c r="AK221" s="89"/>
      <c r="AL221" s="89"/>
      <c r="AM221" s="89"/>
      <c r="AN221" s="89"/>
      <c r="AO221" s="89"/>
      <c r="AP221" s="89"/>
      <c r="AQ221" s="89"/>
      <c r="AR221" s="89"/>
      <c r="AS221" s="89"/>
      <c r="AT221" s="89"/>
      <c r="AU221" s="89"/>
      <c r="AV221" s="89"/>
      <c r="AW221" s="89"/>
      <c r="AX221" s="89"/>
      <c r="AY221" s="89"/>
      <c r="AZ221" s="89"/>
      <c r="BA221" s="89"/>
      <c r="BB221" s="89"/>
    </row>
    <row r="222" spans="1:54" ht="21" x14ac:dyDescent="0.35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  <c r="AC222" s="89"/>
      <c r="AD222" s="89"/>
      <c r="AE222" s="89"/>
      <c r="AF222" s="89"/>
      <c r="AG222" s="89"/>
      <c r="AH222" s="89"/>
      <c r="AI222" s="89"/>
      <c r="AJ222" s="89"/>
      <c r="AK222" s="89"/>
      <c r="AL222" s="89"/>
      <c r="AM222" s="89"/>
      <c r="AN222" s="89"/>
      <c r="AO222" s="89"/>
      <c r="AP222" s="89"/>
      <c r="AQ222" s="89"/>
      <c r="AR222" s="89"/>
      <c r="AS222" s="89"/>
      <c r="AT222" s="89"/>
      <c r="AU222" s="89"/>
      <c r="AV222" s="89"/>
      <c r="AW222" s="89"/>
      <c r="AX222" s="89"/>
      <c r="AY222" s="89"/>
      <c r="AZ222" s="89"/>
      <c r="BA222" s="89"/>
      <c r="BB222" s="89"/>
    </row>
    <row r="223" spans="1:54" ht="21" x14ac:dyDescent="0.35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  <c r="AC223" s="89"/>
      <c r="AD223" s="89"/>
      <c r="AE223" s="89"/>
      <c r="AF223" s="89"/>
      <c r="AG223" s="89"/>
      <c r="AH223" s="89"/>
      <c r="AI223" s="89"/>
      <c r="AJ223" s="89"/>
      <c r="AK223" s="89"/>
      <c r="AL223" s="89"/>
      <c r="AM223" s="89"/>
      <c r="AN223" s="89"/>
      <c r="AO223" s="89"/>
      <c r="AP223" s="89"/>
      <c r="AQ223" s="89"/>
      <c r="AR223" s="89"/>
      <c r="AS223" s="89"/>
      <c r="AT223" s="89"/>
      <c r="AU223" s="89"/>
      <c r="AV223" s="89"/>
      <c r="AW223" s="89"/>
      <c r="AX223" s="89"/>
      <c r="AY223" s="89"/>
      <c r="AZ223" s="89"/>
      <c r="BA223" s="89"/>
      <c r="BB223" s="89"/>
    </row>
    <row r="224" spans="1:54" ht="21" x14ac:dyDescent="0.35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  <c r="AD224" s="89"/>
      <c r="AE224" s="89"/>
      <c r="AF224" s="89"/>
      <c r="AG224" s="89"/>
      <c r="AH224" s="89"/>
      <c r="AI224" s="89"/>
      <c r="AJ224" s="89"/>
      <c r="AK224" s="89"/>
      <c r="AL224" s="89"/>
      <c r="AM224" s="89"/>
      <c r="AN224" s="89"/>
      <c r="AO224" s="89"/>
      <c r="AP224" s="89"/>
      <c r="AQ224" s="89"/>
      <c r="AR224" s="89"/>
      <c r="AS224" s="89"/>
      <c r="AT224" s="89"/>
      <c r="AU224" s="89"/>
      <c r="AV224" s="89"/>
      <c r="AW224" s="89"/>
      <c r="AX224" s="89"/>
      <c r="AY224" s="89"/>
      <c r="AZ224" s="89"/>
      <c r="BA224" s="89"/>
      <c r="BB224" s="89"/>
    </row>
    <row r="225" spans="1:54" ht="21" x14ac:dyDescent="0.35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  <c r="AD225" s="89"/>
      <c r="AE225" s="89"/>
      <c r="AF225" s="89"/>
      <c r="AG225" s="89"/>
      <c r="AH225" s="89"/>
      <c r="AI225" s="89"/>
      <c r="AJ225" s="89"/>
      <c r="AK225" s="89"/>
      <c r="AL225" s="89"/>
      <c r="AM225" s="89"/>
      <c r="AN225" s="89"/>
      <c r="AO225" s="89"/>
      <c r="AP225" s="89"/>
      <c r="AQ225" s="89"/>
      <c r="AR225" s="89"/>
      <c r="AS225" s="89"/>
      <c r="AT225" s="89"/>
      <c r="AU225" s="89"/>
      <c r="AV225" s="89"/>
      <c r="AW225" s="89"/>
      <c r="AX225" s="89"/>
      <c r="AY225" s="89"/>
      <c r="AZ225" s="89"/>
      <c r="BA225" s="89"/>
      <c r="BB225" s="89"/>
    </row>
    <row r="226" spans="1:54" ht="21" x14ac:dyDescent="0.35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  <c r="AD226" s="89"/>
      <c r="AE226" s="89"/>
      <c r="AF226" s="89"/>
      <c r="AG226" s="89"/>
      <c r="AH226" s="89"/>
      <c r="AI226" s="89"/>
      <c r="AJ226" s="89"/>
      <c r="AK226" s="89"/>
      <c r="AL226" s="89"/>
      <c r="AM226" s="89"/>
      <c r="AN226" s="89"/>
      <c r="AO226" s="89"/>
      <c r="AP226" s="89"/>
      <c r="AQ226" s="89"/>
      <c r="AR226" s="89"/>
      <c r="AS226" s="89"/>
      <c r="AT226" s="89"/>
      <c r="AU226" s="89"/>
      <c r="AV226" s="89"/>
      <c r="AW226" s="89"/>
      <c r="AX226" s="89"/>
      <c r="AY226" s="89"/>
      <c r="AZ226" s="89"/>
      <c r="BA226" s="89"/>
      <c r="BB226" s="89"/>
    </row>
    <row r="227" spans="1:54" ht="21" x14ac:dyDescent="0.35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  <c r="AC227" s="89"/>
      <c r="AD227" s="89"/>
      <c r="AE227" s="89"/>
      <c r="AF227" s="89"/>
      <c r="AG227" s="89"/>
      <c r="AH227" s="89"/>
      <c r="AI227" s="89"/>
      <c r="AJ227" s="89"/>
      <c r="AK227" s="89"/>
      <c r="AL227" s="89"/>
      <c r="AM227" s="89"/>
      <c r="AN227" s="89"/>
      <c r="AO227" s="89"/>
      <c r="AP227" s="89"/>
      <c r="AQ227" s="89"/>
      <c r="AR227" s="89"/>
      <c r="AS227" s="89"/>
      <c r="AT227" s="89"/>
      <c r="AU227" s="89"/>
      <c r="AV227" s="89"/>
      <c r="AW227" s="89"/>
      <c r="AX227" s="89"/>
      <c r="AY227" s="89"/>
      <c r="AZ227" s="89"/>
      <c r="BA227" s="89"/>
      <c r="BB227" s="89"/>
    </row>
    <row r="228" spans="1:54" ht="21" x14ac:dyDescent="0.35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  <c r="AD228" s="89"/>
      <c r="AE228" s="89"/>
      <c r="AF228" s="89"/>
      <c r="AG228" s="89"/>
      <c r="AH228" s="89"/>
      <c r="AI228" s="89"/>
      <c r="AJ228" s="89"/>
      <c r="AK228" s="89"/>
      <c r="AL228" s="89"/>
      <c r="AM228" s="89"/>
      <c r="AN228" s="89"/>
      <c r="AO228" s="89"/>
      <c r="AP228" s="89"/>
      <c r="AQ228" s="89"/>
      <c r="AR228" s="89"/>
      <c r="AS228" s="89"/>
      <c r="AT228" s="89"/>
      <c r="AU228" s="89"/>
      <c r="AV228" s="89"/>
      <c r="AW228" s="89"/>
      <c r="AX228" s="89"/>
      <c r="AY228" s="89"/>
      <c r="AZ228" s="89"/>
      <c r="BA228" s="89"/>
      <c r="BB228" s="89"/>
    </row>
    <row r="229" spans="1:54" ht="21" x14ac:dyDescent="0.35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  <c r="AC229" s="89"/>
      <c r="AD229" s="89"/>
      <c r="AE229" s="89"/>
      <c r="AF229" s="89"/>
      <c r="AG229" s="89"/>
      <c r="AH229" s="89"/>
      <c r="AI229" s="89"/>
      <c r="AJ229" s="89"/>
      <c r="AK229" s="89"/>
      <c r="AL229" s="89"/>
      <c r="AM229" s="89"/>
      <c r="AN229" s="89"/>
      <c r="AO229" s="89"/>
      <c r="AP229" s="89"/>
      <c r="AQ229" s="89"/>
      <c r="AR229" s="89"/>
      <c r="AS229" s="89"/>
      <c r="AT229" s="89"/>
      <c r="AU229" s="89"/>
      <c r="AV229" s="89"/>
      <c r="AW229" s="89"/>
      <c r="AX229" s="89"/>
      <c r="AY229" s="89"/>
      <c r="AZ229" s="89"/>
      <c r="BA229" s="89"/>
      <c r="BB229" s="89"/>
    </row>
    <row r="230" spans="1:54" ht="21" x14ac:dyDescent="0.35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  <c r="AC230" s="89"/>
      <c r="AD230" s="89"/>
      <c r="AE230" s="89"/>
      <c r="AF230" s="89"/>
      <c r="AG230" s="89"/>
      <c r="AH230" s="89"/>
      <c r="AI230" s="89"/>
      <c r="AJ230" s="89"/>
      <c r="AK230" s="89"/>
      <c r="AL230" s="89"/>
      <c r="AM230" s="89"/>
      <c r="AN230" s="89"/>
      <c r="AO230" s="89"/>
      <c r="AP230" s="89"/>
      <c r="AQ230" s="89"/>
      <c r="AR230" s="89"/>
      <c r="AS230" s="89"/>
      <c r="AT230" s="89"/>
      <c r="AU230" s="89"/>
      <c r="AV230" s="89"/>
      <c r="AW230" s="89"/>
      <c r="AX230" s="89"/>
      <c r="AY230" s="89"/>
      <c r="AZ230" s="89"/>
      <c r="BA230" s="89"/>
      <c r="BB230" s="89"/>
    </row>
    <row r="231" spans="1:54" ht="21" x14ac:dyDescent="0.35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  <c r="AC231" s="89"/>
      <c r="AD231" s="89"/>
      <c r="AE231" s="89"/>
      <c r="AF231" s="89"/>
      <c r="AG231" s="89"/>
      <c r="AH231" s="89"/>
      <c r="AI231" s="89"/>
      <c r="AJ231" s="89"/>
      <c r="AK231" s="89"/>
      <c r="AL231" s="89"/>
      <c r="AM231" s="89"/>
      <c r="AN231" s="89"/>
      <c r="AO231" s="89"/>
      <c r="AP231" s="89"/>
      <c r="AQ231" s="89"/>
      <c r="AR231" s="89"/>
      <c r="AS231" s="89"/>
      <c r="AT231" s="89"/>
      <c r="AU231" s="89"/>
      <c r="AV231" s="89"/>
      <c r="AW231" s="89"/>
      <c r="AX231" s="89"/>
      <c r="AY231" s="89"/>
      <c r="AZ231" s="89"/>
      <c r="BA231" s="89"/>
      <c r="BB231" s="89"/>
    </row>
    <row r="232" spans="1:54" ht="21" x14ac:dyDescent="0.35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9"/>
      <c r="AJ232" s="89"/>
      <c r="AK232" s="89"/>
      <c r="AL232" s="89"/>
      <c r="AM232" s="89"/>
      <c r="AN232" s="89"/>
      <c r="AO232" s="89"/>
      <c r="AP232" s="89"/>
      <c r="AQ232" s="89"/>
      <c r="AR232" s="89"/>
      <c r="AS232" s="89"/>
      <c r="AT232" s="89"/>
      <c r="AU232" s="89"/>
      <c r="AV232" s="89"/>
      <c r="AW232" s="89"/>
      <c r="AX232" s="89"/>
      <c r="AY232" s="89"/>
      <c r="AZ232" s="89"/>
      <c r="BA232" s="89"/>
      <c r="BB232" s="89"/>
    </row>
    <row r="233" spans="1:54" ht="21" x14ac:dyDescent="0.35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  <c r="AC233" s="89"/>
      <c r="AD233" s="89"/>
      <c r="AE233" s="89"/>
      <c r="AF233" s="89"/>
      <c r="AG233" s="89"/>
      <c r="AH233" s="89"/>
      <c r="AI233" s="89"/>
      <c r="AJ233" s="89"/>
      <c r="AK233" s="89"/>
      <c r="AL233" s="89"/>
      <c r="AM233" s="89"/>
      <c r="AN233" s="89"/>
      <c r="AO233" s="89"/>
      <c r="AP233" s="89"/>
      <c r="AQ233" s="89"/>
      <c r="AR233" s="89"/>
      <c r="AS233" s="89"/>
      <c r="AT233" s="89"/>
      <c r="AU233" s="89"/>
      <c r="AV233" s="89"/>
      <c r="AW233" s="89"/>
      <c r="AX233" s="89"/>
      <c r="AY233" s="89"/>
      <c r="AZ233" s="89"/>
      <c r="BA233" s="89"/>
      <c r="BB233" s="89"/>
    </row>
    <row r="234" spans="1:54" ht="21" x14ac:dyDescent="0.35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  <c r="AD234" s="89"/>
      <c r="AE234" s="89"/>
      <c r="AF234" s="89"/>
      <c r="AG234" s="89"/>
      <c r="AH234" s="89"/>
      <c r="AI234" s="89"/>
      <c r="AJ234" s="89"/>
      <c r="AK234" s="89"/>
      <c r="AL234" s="89"/>
      <c r="AM234" s="89"/>
      <c r="AN234" s="89"/>
      <c r="AO234" s="89"/>
      <c r="AP234" s="89"/>
      <c r="AQ234" s="89"/>
      <c r="AR234" s="89"/>
      <c r="AS234" s="89"/>
      <c r="AT234" s="89"/>
      <c r="AU234" s="89"/>
      <c r="AV234" s="89"/>
      <c r="AW234" s="89"/>
      <c r="AX234" s="89"/>
      <c r="AY234" s="89"/>
      <c r="AZ234" s="89"/>
      <c r="BA234" s="89"/>
      <c r="BB234" s="89"/>
    </row>
    <row r="235" spans="1:54" ht="21" x14ac:dyDescent="0.35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  <c r="AD235" s="89"/>
      <c r="AE235" s="89"/>
      <c r="AF235" s="89"/>
      <c r="AG235" s="89"/>
      <c r="AH235" s="89"/>
      <c r="AI235" s="89"/>
      <c r="AJ235" s="89"/>
      <c r="AK235" s="89"/>
      <c r="AL235" s="89"/>
      <c r="AM235" s="89"/>
      <c r="AN235" s="89"/>
      <c r="AO235" s="89"/>
      <c r="AP235" s="89"/>
      <c r="AQ235" s="89"/>
      <c r="AR235" s="89"/>
      <c r="AS235" s="89"/>
      <c r="AT235" s="89"/>
      <c r="AU235" s="89"/>
      <c r="AV235" s="89"/>
      <c r="AW235" s="89"/>
      <c r="AX235" s="89"/>
      <c r="AY235" s="89"/>
      <c r="AZ235" s="89"/>
      <c r="BA235" s="89"/>
      <c r="BB235" s="89"/>
    </row>
    <row r="236" spans="1:54" ht="21" x14ac:dyDescent="0.35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  <c r="AD236" s="89"/>
      <c r="AE236" s="89"/>
      <c r="AF236" s="89"/>
      <c r="AG236" s="89"/>
      <c r="AH236" s="89"/>
      <c r="AI236" s="89"/>
      <c r="AJ236" s="89"/>
      <c r="AK236" s="89"/>
      <c r="AL236" s="89"/>
      <c r="AM236" s="89"/>
      <c r="AN236" s="89"/>
      <c r="AO236" s="89"/>
      <c r="AP236" s="89"/>
      <c r="AQ236" s="89"/>
      <c r="AR236" s="89"/>
      <c r="AS236" s="89"/>
      <c r="AT236" s="89"/>
      <c r="AU236" s="89"/>
      <c r="AV236" s="89"/>
      <c r="AW236" s="89"/>
      <c r="AX236" s="89"/>
      <c r="AY236" s="89"/>
      <c r="AZ236" s="89"/>
      <c r="BA236" s="89"/>
      <c r="BB236" s="89"/>
    </row>
    <row r="237" spans="1:54" ht="21" x14ac:dyDescent="0.35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  <c r="AC237" s="89"/>
      <c r="AD237" s="89"/>
      <c r="AE237" s="89"/>
      <c r="AF237" s="89"/>
      <c r="AG237" s="89"/>
      <c r="AH237" s="89"/>
      <c r="AI237" s="89"/>
      <c r="AJ237" s="89"/>
      <c r="AK237" s="89"/>
      <c r="AL237" s="89"/>
      <c r="AM237" s="89"/>
      <c r="AN237" s="89"/>
      <c r="AO237" s="89"/>
      <c r="AP237" s="89"/>
      <c r="AQ237" s="89"/>
      <c r="AR237" s="89"/>
      <c r="AS237" s="89"/>
      <c r="AT237" s="89"/>
      <c r="AU237" s="89"/>
      <c r="AV237" s="89"/>
      <c r="AW237" s="89"/>
      <c r="AX237" s="89"/>
      <c r="AY237" s="89"/>
      <c r="AZ237" s="89"/>
      <c r="BA237" s="89"/>
      <c r="BB237" s="89"/>
    </row>
    <row r="238" spans="1:54" ht="21" x14ac:dyDescent="0.35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  <c r="AD238" s="89"/>
      <c r="AE238" s="89"/>
      <c r="AF238" s="89"/>
      <c r="AG238" s="89"/>
      <c r="AH238" s="89"/>
      <c r="AI238" s="89"/>
      <c r="AJ238" s="89"/>
      <c r="AK238" s="89"/>
      <c r="AL238" s="89"/>
      <c r="AM238" s="89"/>
      <c r="AN238" s="89"/>
      <c r="AO238" s="89"/>
      <c r="AP238" s="89"/>
      <c r="AQ238" s="89"/>
      <c r="AR238" s="89"/>
      <c r="AS238" s="89"/>
      <c r="AT238" s="89"/>
      <c r="AU238" s="89"/>
      <c r="AV238" s="89"/>
      <c r="AW238" s="89"/>
      <c r="AX238" s="89"/>
      <c r="AY238" s="89"/>
      <c r="AZ238" s="89"/>
      <c r="BA238" s="89"/>
      <c r="BB238" s="89"/>
    </row>
    <row r="239" spans="1:54" ht="21" x14ac:dyDescent="0.35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  <c r="AD239" s="89"/>
      <c r="AE239" s="89"/>
      <c r="AF239" s="89"/>
      <c r="AG239" s="89"/>
      <c r="AH239" s="89"/>
      <c r="AI239" s="89"/>
      <c r="AJ239" s="89"/>
      <c r="AK239" s="89"/>
      <c r="AL239" s="89"/>
      <c r="AM239" s="89"/>
      <c r="AN239" s="89"/>
      <c r="AO239" s="89"/>
      <c r="AP239" s="89"/>
      <c r="AQ239" s="89"/>
      <c r="AR239" s="89"/>
      <c r="AS239" s="89"/>
      <c r="AT239" s="89"/>
      <c r="AU239" s="89"/>
      <c r="AV239" s="89"/>
      <c r="AW239" s="89"/>
      <c r="AX239" s="89"/>
      <c r="AY239" s="89"/>
      <c r="AZ239" s="89"/>
      <c r="BA239" s="89"/>
      <c r="BB239" s="89"/>
    </row>
    <row r="240" spans="1:54" ht="21" x14ac:dyDescent="0.35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89"/>
      <c r="AL240" s="89"/>
      <c r="AM240" s="89"/>
      <c r="AN240" s="89"/>
      <c r="AO240" s="89"/>
      <c r="AP240" s="89"/>
      <c r="AQ240" s="89"/>
      <c r="AR240" s="89"/>
      <c r="AS240" s="89"/>
      <c r="AT240" s="89"/>
      <c r="AU240" s="89"/>
      <c r="AV240" s="89"/>
      <c r="AW240" s="89"/>
      <c r="AX240" s="89"/>
      <c r="AY240" s="89"/>
      <c r="AZ240" s="89"/>
      <c r="BA240" s="89"/>
      <c r="BB240" s="89"/>
    </row>
    <row r="241" spans="1:54" ht="21" x14ac:dyDescent="0.35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  <c r="AC241" s="89"/>
      <c r="AD241" s="89"/>
      <c r="AE241" s="89"/>
      <c r="AF241" s="89"/>
      <c r="AG241" s="89"/>
      <c r="AH241" s="89"/>
      <c r="AI241" s="89"/>
      <c r="AJ241" s="89"/>
      <c r="AK241" s="89"/>
      <c r="AL241" s="89"/>
      <c r="AM241" s="89"/>
      <c r="AN241" s="89"/>
      <c r="AO241" s="89"/>
      <c r="AP241" s="89"/>
      <c r="AQ241" s="89"/>
      <c r="AR241" s="89"/>
      <c r="AS241" s="89"/>
      <c r="AT241" s="89"/>
      <c r="AU241" s="89"/>
      <c r="AV241" s="89"/>
      <c r="AW241" s="89"/>
      <c r="AX241" s="89"/>
      <c r="AY241" s="89"/>
      <c r="AZ241" s="89"/>
      <c r="BA241" s="89"/>
      <c r="BB241" s="89"/>
    </row>
    <row r="242" spans="1:54" ht="21" x14ac:dyDescent="0.35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  <c r="AC242" s="89"/>
      <c r="AD242" s="89"/>
      <c r="AE242" s="89"/>
      <c r="AF242" s="89"/>
      <c r="AG242" s="89"/>
      <c r="AH242" s="89"/>
      <c r="AI242" s="89"/>
      <c r="AJ242" s="89"/>
      <c r="AK242" s="89"/>
      <c r="AL242" s="89"/>
      <c r="AM242" s="89"/>
      <c r="AN242" s="89"/>
      <c r="AO242" s="89"/>
      <c r="AP242" s="89"/>
      <c r="AQ242" s="89"/>
      <c r="AR242" s="89"/>
      <c r="AS242" s="89"/>
      <c r="AT242" s="89"/>
      <c r="AU242" s="89"/>
      <c r="AV242" s="89"/>
      <c r="AW242" s="89"/>
      <c r="AX242" s="89"/>
      <c r="AY242" s="89"/>
      <c r="AZ242" s="89"/>
      <c r="BA242" s="89"/>
      <c r="BB242" s="89"/>
    </row>
    <row r="243" spans="1:54" ht="21" x14ac:dyDescent="0.35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  <c r="AL243" s="89"/>
      <c r="AM243" s="89"/>
      <c r="AN243" s="89"/>
      <c r="AO243" s="89"/>
      <c r="AP243" s="89"/>
      <c r="AQ243" s="89"/>
      <c r="AR243" s="89"/>
      <c r="AS243" s="89"/>
      <c r="AT243" s="89"/>
      <c r="AU243" s="89"/>
      <c r="AV243" s="89"/>
      <c r="AW243" s="89"/>
      <c r="AX243" s="89"/>
      <c r="AY243" s="89"/>
      <c r="AZ243" s="89"/>
      <c r="BA243" s="89"/>
      <c r="BB243" s="89"/>
    </row>
    <row r="244" spans="1:54" ht="21" x14ac:dyDescent="0.35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  <c r="AC244" s="89"/>
      <c r="AD244" s="89"/>
      <c r="AE244" s="89"/>
      <c r="AF244" s="89"/>
      <c r="AG244" s="89"/>
      <c r="AH244" s="89"/>
      <c r="AI244" s="89"/>
      <c r="AJ244" s="89"/>
      <c r="AK244" s="89"/>
      <c r="AL244" s="89"/>
      <c r="AM244" s="89"/>
      <c r="AN244" s="89"/>
      <c r="AO244" s="89"/>
      <c r="AP244" s="89"/>
      <c r="AQ244" s="89"/>
      <c r="AR244" s="89"/>
      <c r="AS244" s="89"/>
      <c r="AT244" s="89"/>
      <c r="AU244" s="89"/>
      <c r="AV244" s="89"/>
      <c r="AW244" s="89"/>
      <c r="AX244" s="89"/>
      <c r="AY244" s="89"/>
      <c r="AZ244" s="89"/>
      <c r="BA244" s="89"/>
      <c r="BB244" s="89"/>
    </row>
    <row r="245" spans="1:54" ht="21" x14ac:dyDescent="0.35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  <c r="AD245" s="89"/>
      <c r="AE245" s="89"/>
      <c r="AF245" s="89"/>
      <c r="AG245" s="89"/>
      <c r="AH245" s="89"/>
      <c r="AI245" s="89"/>
      <c r="AJ245" s="89"/>
      <c r="AK245" s="89"/>
      <c r="AL245" s="89"/>
      <c r="AM245" s="89"/>
      <c r="AN245" s="89"/>
      <c r="AO245" s="89"/>
      <c r="AP245" s="89"/>
      <c r="AQ245" s="89"/>
      <c r="AR245" s="89"/>
      <c r="AS245" s="89"/>
      <c r="AT245" s="89"/>
      <c r="AU245" s="89"/>
      <c r="AV245" s="89"/>
      <c r="AW245" s="89"/>
      <c r="AX245" s="89"/>
      <c r="AY245" s="89"/>
      <c r="AZ245" s="89"/>
      <c r="BA245" s="89"/>
      <c r="BB245" s="89"/>
    </row>
    <row r="246" spans="1:54" ht="21" x14ac:dyDescent="0.35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  <c r="AC246" s="89"/>
      <c r="AD246" s="89"/>
      <c r="AE246" s="89"/>
      <c r="AF246" s="89"/>
      <c r="AG246" s="89"/>
      <c r="AH246" s="89"/>
      <c r="AI246" s="89"/>
      <c r="AJ246" s="89"/>
      <c r="AK246" s="89"/>
      <c r="AL246" s="89"/>
      <c r="AM246" s="89"/>
      <c r="AN246" s="89"/>
      <c r="AO246" s="89"/>
      <c r="AP246" s="89"/>
      <c r="AQ246" s="89"/>
      <c r="AR246" s="89"/>
      <c r="AS246" s="89"/>
      <c r="AT246" s="89"/>
      <c r="AU246" s="89"/>
      <c r="AV246" s="89"/>
      <c r="AW246" s="89"/>
      <c r="AX246" s="89"/>
      <c r="AY246" s="89"/>
      <c r="AZ246" s="89"/>
      <c r="BA246" s="89"/>
      <c r="BB246" s="89"/>
    </row>
    <row r="247" spans="1:54" ht="21" x14ac:dyDescent="0.35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  <c r="AC247" s="89"/>
      <c r="AD247" s="89"/>
      <c r="AE247" s="89"/>
      <c r="AF247" s="89"/>
      <c r="AG247" s="89"/>
      <c r="AH247" s="89"/>
      <c r="AI247" s="89"/>
      <c r="AJ247" s="89"/>
      <c r="AK247" s="89"/>
      <c r="AL247" s="89"/>
      <c r="AM247" s="89"/>
      <c r="AN247" s="89"/>
      <c r="AO247" s="89"/>
      <c r="AP247" s="89"/>
      <c r="AQ247" s="89"/>
      <c r="AR247" s="89"/>
      <c r="AS247" s="89"/>
      <c r="AT247" s="89"/>
      <c r="AU247" s="89"/>
      <c r="AV247" s="89"/>
      <c r="AW247" s="89"/>
      <c r="AX247" s="89"/>
      <c r="AY247" s="89"/>
      <c r="AZ247" s="89"/>
      <c r="BA247" s="89"/>
      <c r="BB247" s="89"/>
    </row>
    <row r="248" spans="1:54" ht="21" x14ac:dyDescent="0.35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  <c r="AC248" s="89"/>
      <c r="AD248" s="89"/>
      <c r="AE248" s="89"/>
      <c r="AF248" s="89"/>
      <c r="AG248" s="89"/>
      <c r="AH248" s="89"/>
      <c r="AI248" s="89"/>
      <c r="AJ248" s="89"/>
      <c r="AK248" s="89"/>
      <c r="AL248" s="89"/>
      <c r="AM248" s="89"/>
      <c r="AN248" s="89"/>
      <c r="AO248" s="89"/>
      <c r="AP248" s="89"/>
      <c r="AQ248" s="89"/>
      <c r="AR248" s="89"/>
      <c r="AS248" s="89"/>
      <c r="AT248" s="89"/>
      <c r="AU248" s="89"/>
      <c r="AV248" s="89"/>
      <c r="AW248" s="89"/>
      <c r="AX248" s="89"/>
      <c r="AY248" s="89"/>
      <c r="AZ248" s="89"/>
      <c r="BA248" s="89"/>
      <c r="BB248" s="89"/>
    </row>
    <row r="249" spans="1:54" ht="21" x14ac:dyDescent="0.35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  <c r="AC249" s="89"/>
      <c r="AD249" s="89"/>
      <c r="AE249" s="89"/>
      <c r="AF249" s="89"/>
      <c r="AG249" s="89"/>
      <c r="AH249" s="89"/>
      <c r="AI249" s="89"/>
      <c r="AJ249" s="89"/>
      <c r="AK249" s="89"/>
      <c r="AL249" s="89"/>
      <c r="AM249" s="89"/>
      <c r="AN249" s="89"/>
      <c r="AO249" s="89"/>
      <c r="AP249" s="89"/>
      <c r="AQ249" s="89"/>
      <c r="AR249" s="89"/>
      <c r="AS249" s="89"/>
      <c r="AT249" s="89"/>
      <c r="AU249" s="89"/>
      <c r="AV249" s="89"/>
      <c r="AW249" s="89"/>
      <c r="AX249" s="89"/>
      <c r="AY249" s="89"/>
      <c r="AZ249" s="89"/>
      <c r="BA249" s="89"/>
      <c r="BB249" s="89"/>
    </row>
    <row r="250" spans="1:54" ht="21" x14ac:dyDescent="0.35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  <c r="AC250" s="89"/>
      <c r="AD250" s="89"/>
      <c r="AE250" s="89"/>
      <c r="AF250" s="89"/>
      <c r="AG250" s="89"/>
      <c r="AH250" s="89"/>
      <c r="AI250" s="89"/>
      <c r="AJ250" s="89"/>
      <c r="AK250" s="89"/>
      <c r="AL250" s="89"/>
      <c r="AM250" s="89"/>
      <c r="AN250" s="89"/>
      <c r="AO250" s="89"/>
      <c r="AP250" s="89"/>
      <c r="AQ250" s="89"/>
      <c r="AR250" s="89"/>
      <c r="AS250" s="89"/>
      <c r="AT250" s="89"/>
      <c r="AU250" s="89"/>
      <c r="AV250" s="89"/>
      <c r="AW250" s="89"/>
      <c r="AX250" s="89"/>
      <c r="AY250" s="89"/>
      <c r="AZ250" s="89"/>
      <c r="BA250" s="89"/>
      <c r="BB250" s="89"/>
    </row>
    <row r="251" spans="1:54" ht="21" x14ac:dyDescent="0.35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  <c r="AD251" s="89"/>
      <c r="AE251" s="89"/>
      <c r="AF251" s="89"/>
      <c r="AG251" s="89"/>
      <c r="AH251" s="89"/>
      <c r="AI251" s="89"/>
      <c r="AJ251" s="89"/>
      <c r="AK251" s="89"/>
      <c r="AL251" s="89"/>
      <c r="AM251" s="89"/>
      <c r="AN251" s="89"/>
      <c r="AO251" s="89"/>
      <c r="AP251" s="89"/>
      <c r="AQ251" s="89"/>
      <c r="AR251" s="89"/>
      <c r="AS251" s="89"/>
      <c r="AT251" s="89"/>
      <c r="AU251" s="89"/>
      <c r="AV251" s="89"/>
      <c r="AW251" s="89"/>
      <c r="AX251" s="89"/>
      <c r="AY251" s="89"/>
      <c r="AZ251" s="89"/>
      <c r="BA251" s="89"/>
      <c r="BB251" s="89"/>
    </row>
    <row r="252" spans="1:54" ht="21" x14ac:dyDescent="0.35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  <c r="AD252" s="89"/>
      <c r="AE252" s="89"/>
      <c r="AF252" s="89"/>
      <c r="AG252" s="89"/>
      <c r="AH252" s="89"/>
      <c r="AI252" s="89"/>
      <c r="AJ252" s="89"/>
      <c r="AK252" s="89"/>
      <c r="AL252" s="89"/>
      <c r="AM252" s="89"/>
      <c r="AN252" s="89"/>
      <c r="AO252" s="89"/>
      <c r="AP252" s="89"/>
      <c r="AQ252" s="89"/>
      <c r="AR252" s="89"/>
      <c r="AS252" s="89"/>
      <c r="AT252" s="89"/>
      <c r="AU252" s="89"/>
      <c r="AV252" s="89"/>
      <c r="AW252" s="89"/>
      <c r="AX252" s="89"/>
      <c r="AY252" s="89"/>
      <c r="AZ252" s="89"/>
      <c r="BA252" s="89"/>
      <c r="BB252" s="89"/>
    </row>
    <row r="253" spans="1:54" ht="21" x14ac:dyDescent="0.35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  <c r="AC253" s="89"/>
      <c r="AD253" s="89"/>
      <c r="AE253" s="89"/>
      <c r="AF253" s="89"/>
      <c r="AG253" s="89"/>
      <c r="AH253" s="89"/>
      <c r="AI253" s="89"/>
      <c r="AJ253" s="89"/>
      <c r="AK253" s="89"/>
      <c r="AL253" s="89"/>
      <c r="AM253" s="89"/>
      <c r="AN253" s="89"/>
      <c r="AO253" s="89"/>
      <c r="AP253" s="89"/>
      <c r="AQ253" s="89"/>
      <c r="AR253" s="89"/>
      <c r="AS253" s="89"/>
      <c r="AT253" s="89"/>
      <c r="AU253" s="89"/>
      <c r="AV253" s="89"/>
      <c r="AW253" s="89"/>
      <c r="AX253" s="89"/>
      <c r="AY253" s="89"/>
      <c r="AZ253" s="89"/>
      <c r="BA253" s="89"/>
      <c r="BB253" s="89"/>
    </row>
    <row r="254" spans="1:54" ht="21" x14ac:dyDescent="0.35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  <c r="AD254" s="89"/>
      <c r="AE254" s="89"/>
      <c r="AF254" s="89"/>
      <c r="AG254" s="89"/>
      <c r="AH254" s="89"/>
      <c r="AI254" s="89"/>
      <c r="AJ254" s="89"/>
      <c r="AK254" s="89"/>
      <c r="AL254" s="89"/>
      <c r="AM254" s="89"/>
      <c r="AN254" s="89"/>
      <c r="AO254" s="89"/>
      <c r="AP254" s="89"/>
      <c r="AQ254" s="89"/>
      <c r="AR254" s="89"/>
      <c r="AS254" s="89"/>
      <c r="AT254" s="89"/>
      <c r="AU254" s="89"/>
      <c r="AV254" s="89"/>
      <c r="AW254" s="89"/>
      <c r="AX254" s="89"/>
      <c r="AY254" s="89"/>
      <c r="AZ254" s="89"/>
      <c r="BA254" s="89"/>
      <c r="BB254" s="89"/>
    </row>
    <row r="255" spans="1:54" ht="21" x14ac:dyDescent="0.35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  <c r="AL255" s="89"/>
      <c r="AM255" s="89"/>
      <c r="AN255" s="89"/>
      <c r="AO255" s="89"/>
      <c r="AP255" s="89"/>
      <c r="AQ255" s="89"/>
      <c r="AR255" s="89"/>
      <c r="AS255" s="89"/>
      <c r="AT255" s="89"/>
      <c r="AU255" s="89"/>
      <c r="AV255" s="89"/>
      <c r="AW255" s="89"/>
      <c r="AX255" s="89"/>
      <c r="AY255" s="89"/>
      <c r="AZ255" s="89"/>
      <c r="BA255" s="89"/>
      <c r="BB255" s="89"/>
    </row>
    <row r="256" spans="1:54" ht="21" x14ac:dyDescent="0.35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  <c r="AD256" s="89"/>
      <c r="AE256" s="89"/>
      <c r="AF256" s="89"/>
      <c r="AG256" s="89"/>
      <c r="AH256" s="89"/>
      <c r="AI256" s="89"/>
      <c r="AJ256" s="89"/>
      <c r="AK256" s="89"/>
      <c r="AL256" s="89"/>
      <c r="AM256" s="89"/>
      <c r="AN256" s="89"/>
      <c r="AO256" s="89"/>
      <c r="AP256" s="89"/>
      <c r="AQ256" s="89"/>
      <c r="AR256" s="89"/>
      <c r="AS256" s="89"/>
      <c r="AT256" s="89"/>
      <c r="AU256" s="89"/>
      <c r="AV256" s="89"/>
      <c r="AW256" s="89"/>
      <c r="AX256" s="89"/>
      <c r="AY256" s="89"/>
      <c r="AZ256" s="89"/>
      <c r="BA256" s="89"/>
      <c r="BB256" s="89"/>
    </row>
    <row r="257" spans="1:54" ht="21" x14ac:dyDescent="0.35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  <c r="AC257" s="89"/>
      <c r="AD257" s="89"/>
      <c r="AE257" s="89"/>
      <c r="AF257" s="89"/>
      <c r="AG257" s="89"/>
      <c r="AH257" s="89"/>
      <c r="AI257" s="89"/>
      <c r="AJ257" s="89"/>
      <c r="AK257" s="89"/>
      <c r="AL257" s="89"/>
      <c r="AM257" s="89"/>
      <c r="AN257" s="89"/>
      <c r="AO257" s="89"/>
      <c r="AP257" s="89"/>
      <c r="AQ257" s="89"/>
      <c r="AR257" s="89"/>
      <c r="AS257" s="89"/>
      <c r="AT257" s="89"/>
      <c r="AU257" s="89"/>
      <c r="AV257" s="89"/>
      <c r="AW257" s="89"/>
      <c r="AX257" s="89"/>
      <c r="AY257" s="89"/>
      <c r="AZ257" s="89"/>
      <c r="BA257" s="89"/>
      <c r="BB257" s="89"/>
    </row>
    <row r="258" spans="1:54" ht="21" x14ac:dyDescent="0.35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  <c r="AD258" s="89"/>
      <c r="AE258" s="89"/>
      <c r="AF258" s="89"/>
      <c r="AG258" s="89"/>
      <c r="AH258" s="89"/>
      <c r="AI258" s="89"/>
      <c r="AJ258" s="89"/>
      <c r="AK258" s="89"/>
      <c r="AL258" s="89"/>
      <c r="AM258" s="89"/>
      <c r="AN258" s="89"/>
      <c r="AO258" s="89"/>
      <c r="AP258" s="89"/>
      <c r="AQ258" s="89"/>
      <c r="AR258" s="89"/>
      <c r="AS258" s="89"/>
      <c r="AT258" s="89"/>
      <c r="AU258" s="89"/>
      <c r="AV258" s="89"/>
      <c r="AW258" s="89"/>
      <c r="AX258" s="89"/>
      <c r="AY258" s="89"/>
      <c r="AZ258" s="89"/>
      <c r="BA258" s="89"/>
      <c r="BB258" s="89"/>
    </row>
    <row r="259" spans="1:54" ht="21" x14ac:dyDescent="0.35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89"/>
      <c r="AN259" s="89"/>
      <c r="AO259" s="89"/>
      <c r="AP259" s="89"/>
      <c r="AQ259" s="89"/>
      <c r="AR259" s="89"/>
      <c r="AS259" s="89"/>
      <c r="AT259" s="89"/>
      <c r="AU259" s="89"/>
      <c r="AV259" s="89"/>
      <c r="AW259" s="89"/>
      <c r="AX259" s="89"/>
      <c r="AY259" s="89"/>
      <c r="AZ259" s="89"/>
      <c r="BA259" s="89"/>
      <c r="BB259" s="89"/>
    </row>
    <row r="260" spans="1:54" ht="21" x14ac:dyDescent="0.35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  <c r="AD260" s="89"/>
      <c r="AE260" s="89"/>
      <c r="AF260" s="89"/>
      <c r="AG260" s="89"/>
      <c r="AH260" s="89"/>
      <c r="AI260" s="89"/>
      <c r="AJ260" s="89"/>
      <c r="AK260" s="89"/>
      <c r="AL260" s="89"/>
      <c r="AM260" s="89"/>
      <c r="AN260" s="89"/>
      <c r="AO260" s="89"/>
      <c r="AP260" s="89"/>
      <c r="AQ260" s="89"/>
      <c r="AR260" s="89"/>
      <c r="AS260" s="89"/>
      <c r="AT260" s="89"/>
      <c r="AU260" s="89"/>
      <c r="AV260" s="89"/>
      <c r="AW260" s="89"/>
      <c r="AX260" s="89"/>
      <c r="AY260" s="89"/>
      <c r="AZ260" s="89"/>
      <c r="BA260" s="89"/>
      <c r="BB260" s="89"/>
    </row>
    <row r="261" spans="1:54" ht="21" x14ac:dyDescent="0.35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  <c r="AC261" s="89"/>
      <c r="AD261" s="89"/>
      <c r="AE261" s="89"/>
      <c r="AF261" s="89"/>
      <c r="AG261" s="89"/>
      <c r="AH261" s="89"/>
      <c r="AI261" s="89"/>
      <c r="AJ261" s="89"/>
      <c r="AK261" s="89"/>
      <c r="AL261" s="89"/>
      <c r="AM261" s="89"/>
      <c r="AN261" s="89"/>
      <c r="AO261" s="89"/>
      <c r="AP261" s="89"/>
      <c r="AQ261" s="89"/>
      <c r="AR261" s="89"/>
      <c r="AS261" s="89"/>
      <c r="AT261" s="89"/>
      <c r="AU261" s="89"/>
      <c r="AV261" s="89"/>
      <c r="AW261" s="89"/>
      <c r="AX261" s="89"/>
      <c r="AY261" s="89"/>
      <c r="AZ261" s="89"/>
      <c r="BA261" s="89"/>
      <c r="BB261" s="89"/>
    </row>
    <row r="262" spans="1:54" ht="21" x14ac:dyDescent="0.35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89"/>
      <c r="AN262" s="89"/>
      <c r="AO262" s="89"/>
      <c r="AP262" s="89"/>
      <c r="AQ262" s="89"/>
      <c r="AR262" s="89"/>
      <c r="AS262" s="89"/>
      <c r="AT262" s="89"/>
      <c r="AU262" s="89"/>
      <c r="AV262" s="89"/>
      <c r="AW262" s="89"/>
      <c r="AX262" s="89"/>
      <c r="AY262" s="89"/>
      <c r="AZ262" s="89"/>
      <c r="BA262" s="89"/>
      <c r="BB262" s="89"/>
    </row>
    <row r="263" spans="1:54" ht="21" x14ac:dyDescent="0.35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  <c r="AD263" s="89"/>
      <c r="AE263" s="89"/>
      <c r="AF263" s="89"/>
      <c r="AG263" s="89"/>
      <c r="AH263" s="89"/>
      <c r="AI263" s="89"/>
      <c r="AJ263" s="89"/>
      <c r="AK263" s="89"/>
      <c r="AL263" s="89"/>
      <c r="AM263" s="89"/>
      <c r="AN263" s="89"/>
      <c r="AO263" s="89"/>
      <c r="AP263" s="89"/>
      <c r="AQ263" s="89"/>
      <c r="AR263" s="89"/>
      <c r="AS263" s="89"/>
      <c r="AT263" s="89"/>
      <c r="AU263" s="89"/>
      <c r="AV263" s="89"/>
      <c r="AW263" s="89"/>
      <c r="AX263" s="89"/>
      <c r="AY263" s="89"/>
      <c r="AZ263" s="89"/>
      <c r="BA263" s="89"/>
      <c r="BB263" s="89"/>
    </row>
    <row r="264" spans="1:54" ht="21" x14ac:dyDescent="0.35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  <c r="AD264" s="89"/>
      <c r="AE264" s="89"/>
      <c r="AF264" s="89"/>
      <c r="AG264" s="89"/>
      <c r="AH264" s="89"/>
      <c r="AI264" s="89"/>
      <c r="AJ264" s="89"/>
      <c r="AK264" s="89"/>
      <c r="AL264" s="89"/>
      <c r="AM264" s="89"/>
      <c r="AN264" s="89"/>
      <c r="AO264" s="89"/>
      <c r="AP264" s="89"/>
      <c r="AQ264" s="89"/>
      <c r="AR264" s="89"/>
      <c r="AS264" s="89"/>
      <c r="AT264" s="89"/>
      <c r="AU264" s="89"/>
      <c r="AV264" s="89"/>
      <c r="AW264" s="89"/>
      <c r="AX264" s="89"/>
      <c r="AY264" s="89"/>
      <c r="AZ264" s="89"/>
      <c r="BA264" s="89"/>
      <c r="BB264" s="89"/>
    </row>
    <row r="265" spans="1:54" ht="21" x14ac:dyDescent="0.35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  <c r="AL265" s="89"/>
      <c r="AM265" s="89"/>
      <c r="AN265" s="89"/>
      <c r="AO265" s="89"/>
      <c r="AP265" s="89"/>
      <c r="AQ265" s="89"/>
      <c r="AR265" s="89"/>
      <c r="AS265" s="89"/>
      <c r="AT265" s="89"/>
      <c r="AU265" s="89"/>
      <c r="AV265" s="89"/>
      <c r="AW265" s="89"/>
      <c r="AX265" s="89"/>
      <c r="AY265" s="89"/>
      <c r="AZ265" s="89"/>
      <c r="BA265" s="89"/>
      <c r="BB265" s="89"/>
    </row>
    <row r="266" spans="1:54" ht="21" x14ac:dyDescent="0.35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  <c r="AD266" s="89"/>
      <c r="AE266" s="89"/>
      <c r="AF266" s="89"/>
      <c r="AG266" s="89"/>
      <c r="AH266" s="89"/>
      <c r="AI266" s="89"/>
      <c r="AJ266" s="89"/>
      <c r="AK266" s="89"/>
      <c r="AL266" s="89"/>
      <c r="AM266" s="89"/>
      <c r="AN266" s="89"/>
      <c r="AO266" s="89"/>
      <c r="AP266" s="89"/>
      <c r="AQ266" s="89"/>
      <c r="AR266" s="89"/>
      <c r="AS266" s="89"/>
      <c r="AT266" s="89"/>
      <c r="AU266" s="89"/>
      <c r="AV266" s="89"/>
      <c r="AW266" s="89"/>
      <c r="AX266" s="89"/>
      <c r="AY266" s="89"/>
      <c r="AZ266" s="89"/>
      <c r="BA266" s="89"/>
      <c r="BB266" s="89"/>
    </row>
    <row r="267" spans="1:54" ht="21" x14ac:dyDescent="0.35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89"/>
      <c r="AD267" s="89"/>
      <c r="AE267" s="89"/>
      <c r="AF267" s="89"/>
      <c r="AG267" s="89"/>
      <c r="AH267" s="89"/>
      <c r="AI267" s="89"/>
      <c r="AJ267" s="89"/>
      <c r="AK267" s="89"/>
      <c r="AL267" s="89"/>
      <c r="AM267" s="89"/>
      <c r="AN267" s="89"/>
      <c r="AO267" s="89"/>
      <c r="AP267" s="89"/>
      <c r="AQ267" s="89"/>
      <c r="AR267" s="89"/>
      <c r="AS267" s="89"/>
      <c r="AT267" s="89"/>
      <c r="AU267" s="89"/>
      <c r="AV267" s="89"/>
      <c r="AW267" s="89"/>
      <c r="AX267" s="89"/>
      <c r="AY267" s="89"/>
      <c r="AZ267" s="89"/>
      <c r="BA267" s="89"/>
      <c r="BB267" s="89"/>
    </row>
    <row r="268" spans="1:54" ht="21" x14ac:dyDescent="0.35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  <c r="AD268" s="89"/>
      <c r="AE268" s="89"/>
      <c r="AF268" s="89"/>
      <c r="AG268" s="89"/>
      <c r="AH268" s="89"/>
      <c r="AI268" s="89"/>
      <c r="AJ268" s="89"/>
      <c r="AK268" s="89"/>
      <c r="AL268" s="89"/>
      <c r="AM268" s="89"/>
      <c r="AN268" s="89"/>
      <c r="AO268" s="89"/>
      <c r="AP268" s="89"/>
      <c r="AQ268" s="89"/>
      <c r="AR268" s="89"/>
      <c r="AS268" s="89"/>
      <c r="AT268" s="89"/>
      <c r="AU268" s="89"/>
      <c r="AV268" s="89"/>
      <c r="AW268" s="89"/>
      <c r="AX268" s="89"/>
      <c r="AY268" s="89"/>
      <c r="AZ268" s="89"/>
      <c r="BA268" s="89"/>
      <c r="BB268" s="89"/>
    </row>
    <row r="269" spans="1:54" ht="21" x14ac:dyDescent="0.35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  <c r="AD269" s="89"/>
      <c r="AE269" s="89"/>
      <c r="AF269" s="89"/>
      <c r="AG269" s="89"/>
      <c r="AH269" s="89"/>
      <c r="AI269" s="89"/>
      <c r="AJ269" s="89"/>
      <c r="AK269" s="89"/>
      <c r="AL269" s="89"/>
      <c r="AM269" s="89"/>
      <c r="AN269" s="89"/>
      <c r="AO269" s="89"/>
      <c r="AP269" s="89"/>
      <c r="AQ269" s="89"/>
      <c r="AR269" s="89"/>
      <c r="AS269" s="89"/>
      <c r="AT269" s="89"/>
      <c r="AU269" s="89"/>
      <c r="AV269" s="89"/>
      <c r="AW269" s="89"/>
      <c r="AX269" s="89"/>
      <c r="AY269" s="89"/>
      <c r="AZ269" s="89"/>
      <c r="BA269" s="89"/>
      <c r="BB269" s="89"/>
    </row>
    <row r="270" spans="1:54" ht="21" x14ac:dyDescent="0.35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  <c r="AD270" s="89"/>
      <c r="AE270" s="89"/>
      <c r="AF270" s="89"/>
      <c r="AG270" s="89"/>
      <c r="AH270" s="89"/>
      <c r="AI270" s="89"/>
      <c r="AJ270" s="89"/>
      <c r="AK270" s="89"/>
      <c r="AL270" s="89"/>
      <c r="AM270" s="89"/>
      <c r="AN270" s="89"/>
      <c r="AO270" s="89"/>
      <c r="AP270" s="89"/>
      <c r="AQ270" s="89"/>
      <c r="AR270" s="89"/>
      <c r="AS270" s="89"/>
      <c r="AT270" s="89"/>
      <c r="AU270" s="89"/>
      <c r="AV270" s="89"/>
      <c r="AW270" s="89"/>
      <c r="AX270" s="89"/>
      <c r="AY270" s="89"/>
      <c r="AZ270" s="89"/>
      <c r="BA270" s="89"/>
      <c r="BB270" s="89"/>
    </row>
    <row r="271" spans="1:54" ht="21" x14ac:dyDescent="0.35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  <c r="AD271" s="89"/>
      <c r="AE271" s="89"/>
      <c r="AF271" s="89"/>
      <c r="AG271" s="89"/>
      <c r="AH271" s="89"/>
      <c r="AI271" s="89"/>
      <c r="AJ271" s="89"/>
      <c r="AK271" s="89"/>
      <c r="AL271" s="89"/>
      <c r="AM271" s="89"/>
      <c r="AN271" s="89"/>
      <c r="AO271" s="89"/>
      <c r="AP271" s="89"/>
      <c r="AQ271" s="89"/>
      <c r="AR271" s="89"/>
      <c r="AS271" s="89"/>
      <c r="AT271" s="89"/>
      <c r="AU271" s="89"/>
      <c r="AV271" s="89"/>
      <c r="AW271" s="89"/>
      <c r="AX271" s="89"/>
      <c r="AY271" s="89"/>
      <c r="AZ271" s="89"/>
      <c r="BA271" s="89"/>
      <c r="BB271" s="89"/>
    </row>
    <row r="272" spans="1:54" ht="21" x14ac:dyDescent="0.35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  <c r="AD272" s="89"/>
      <c r="AE272" s="89"/>
      <c r="AF272" s="89"/>
      <c r="AG272" s="89"/>
      <c r="AH272" s="89"/>
      <c r="AI272" s="89"/>
      <c r="AJ272" s="89"/>
      <c r="AK272" s="89"/>
      <c r="AL272" s="89"/>
      <c r="AM272" s="89"/>
      <c r="AN272" s="89"/>
      <c r="AO272" s="89"/>
      <c r="AP272" s="89"/>
      <c r="AQ272" s="89"/>
      <c r="AR272" s="89"/>
      <c r="AS272" s="89"/>
      <c r="AT272" s="89"/>
      <c r="AU272" s="89"/>
      <c r="AV272" s="89"/>
      <c r="AW272" s="89"/>
      <c r="AX272" s="89"/>
      <c r="AY272" s="89"/>
      <c r="AZ272" s="89"/>
      <c r="BA272" s="89"/>
      <c r="BB272" s="89"/>
    </row>
    <row r="273" spans="1:54" ht="21" x14ac:dyDescent="0.35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  <c r="AC273" s="89"/>
      <c r="AD273" s="89"/>
      <c r="AE273" s="89"/>
      <c r="AF273" s="89"/>
      <c r="AG273" s="89"/>
      <c r="AH273" s="89"/>
      <c r="AI273" s="89"/>
      <c r="AJ273" s="89"/>
      <c r="AK273" s="89"/>
      <c r="AL273" s="89"/>
      <c r="AM273" s="89"/>
      <c r="AN273" s="89"/>
      <c r="AO273" s="89"/>
      <c r="AP273" s="89"/>
      <c r="AQ273" s="89"/>
      <c r="AR273" s="89"/>
      <c r="AS273" s="89"/>
      <c r="AT273" s="89"/>
      <c r="AU273" s="89"/>
      <c r="AV273" s="89"/>
      <c r="AW273" s="89"/>
      <c r="AX273" s="89"/>
      <c r="AY273" s="89"/>
      <c r="AZ273" s="89"/>
      <c r="BA273" s="89"/>
      <c r="BB273" s="89"/>
    </row>
    <row r="274" spans="1:54" ht="21" x14ac:dyDescent="0.35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  <c r="AD274" s="89"/>
      <c r="AE274" s="89"/>
      <c r="AF274" s="89"/>
      <c r="AG274" s="89"/>
      <c r="AH274" s="89"/>
      <c r="AI274" s="89"/>
      <c r="AJ274" s="89"/>
      <c r="AK274" s="89"/>
      <c r="AL274" s="89"/>
      <c r="AM274" s="89"/>
      <c r="AN274" s="89"/>
      <c r="AO274" s="89"/>
      <c r="AP274" s="89"/>
      <c r="AQ274" s="89"/>
      <c r="AR274" s="89"/>
      <c r="AS274" s="89"/>
      <c r="AT274" s="89"/>
      <c r="AU274" s="89"/>
      <c r="AV274" s="89"/>
      <c r="AW274" s="89"/>
      <c r="AX274" s="89"/>
      <c r="AY274" s="89"/>
      <c r="AZ274" s="89"/>
      <c r="BA274" s="89"/>
      <c r="BB274" s="89"/>
    </row>
    <row r="275" spans="1:54" ht="21" x14ac:dyDescent="0.35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  <c r="AC275" s="89"/>
      <c r="AD275" s="89"/>
      <c r="AE275" s="89"/>
      <c r="AF275" s="89"/>
      <c r="AG275" s="89"/>
      <c r="AH275" s="89"/>
      <c r="AI275" s="89"/>
      <c r="AJ275" s="89"/>
      <c r="AK275" s="89"/>
      <c r="AL275" s="89"/>
      <c r="AM275" s="89"/>
      <c r="AN275" s="89"/>
      <c r="AO275" s="89"/>
      <c r="AP275" s="89"/>
      <c r="AQ275" s="89"/>
      <c r="AR275" s="89"/>
      <c r="AS275" s="89"/>
      <c r="AT275" s="89"/>
      <c r="AU275" s="89"/>
      <c r="AV275" s="89"/>
      <c r="AW275" s="89"/>
      <c r="AX275" s="89"/>
      <c r="AY275" s="89"/>
      <c r="AZ275" s="89"/>
      <c r="BA275" s="89"/>
      <c r="BB275" s="89"/>
    </row>
    <row r="276" spans="1:54" ht="21" x14ac:dyDescent="0.35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  <c r="AD276" s="89"/>
      <c r="AE276" s="89"/>
      <c r="AF276" s="89"/>
      <c r="AG276" s="89"/>
      <c r="AH276" s="89"/>
      <c r="AI276" s="89"/>
      <c r="AJ276" s="89"/>
      <c r="AK276" s="89"/>
      <c r="AL276" s="89"/>
      <c r="AM276" s="89"/>
      <c r="AN276" s="89"/>
      <c r="AO276" s="89"/>
      <c r="AP276" s="89"/>
      <c r="AQ276" s="89"/>
      <c r="AR276" s="89"/>
      <c r="AS276" s="89"/>
      <c r="AT276" s="89"/>
      <c r="AU276" s="89"/>
      <c r="AV276" s="89"/>
      <c r="AW276" s="89"/>
      <c r="AX276" s="89"/>
      <c r="AY276" s="89"/>
      <c r="AZ276" s="89"/>
      <c r="BA276" s="89"/>
      <c r="BB276" s="89"/>
    </row>
    <row r="277" spans="1:54" ht="21" x14ac:dyDescent="0.35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  <c r="AD277" s="89"/>
      <c r="AE277" s="89"/>
      <c r="AF277" s="89"/>
      <c r="AG277" s="89"/>
      <c r="AH277" s="89"/>
      <c r="AI277" s="89"/>
      <c r="AJ277" s="89"/>
      <c r="AK277" s="89"/>
      <c r="AL277" s="89"/>
      <c r="AM277" s="89"/>
      <c r="AN277" s="89"/>
      <c r="AO277" s="89"/>
      <c r="AP277" s="89"/>
      <c r="AQ277" s="89"/>
      <c r="AR277" s="89"/>
      <c r="AS277" s="89"/>
      <c r="AT277" s="89"/>
      <c r="AU277" s="89"/>
      <c r="AV277" s="89"/>
      <c r="AW277" s="89"/>
      <c r="AX277" s="89"/>
      <c r="AY277" s="89"/>
      <c r="AZ277" s="89"/>
      <c r="BA277" s="89"/>
      <c r="BB277" s="89"/>
    </row>
    <row r="278" spans="1:54" ht="21" x14ac:dyDescent="0.35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  <c r="AD278" s="89"/>
      <c r="AE278" s="89"/>
      <c r="AF278" s="89"/>
      <c r="AG278" s="89"/>
      <c r="AH278" s="89"/>
      <c r="AI278" s="89"/>
      <c r="AJ278" s="89"/>
      <c r="AK278" s="89"/>
      <c r="AL278" s="89"/>
      <c r="AM278" s="89"/>
      <c r="AN278" s="89"/>
      <c r="AO278" s="89"/>
      <c r="AP278" s="89"/>
      <c r="AQ278" s="89"/>
      <c r="AR278" s="89"/>
      <c r="AS278" s="89"/>
      <c r="AT278" s="89"/>
      <c r="AU278" s="89"/>
      <c r="AV278" s="89"/>
      <c r="AW278" s="89"/>
      <c r="AX278" s="89"/>
      <c r="AY278" s="89"/>
      <c r="AZ278" s="89"/>
      <c r="BA278" s="89"/>
      <c r="BB278" s="89"/>
    </row>
    <row r="279" spans="1:54" ht="21" x14ac:dyDescent="0.35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  <c r="AD279" s="89"/>
      <c r="AE279" s="89"/>
      <c r="AF279" s="89"/>
      <c r="AG279" s="89"/>
      <c r="AH279" s="89"/>
      <c r="AI279" s="89"/>
      <c r="AJ279" s="89"/>
      <c r="AK279" s="89"/>
      <c r="AL279" s="89"/>
      <c r="AM279" s="89"/>
      <c r="AN279" s="89"/>
      <c r="AO279" s="89"/>
      <c r="AP279" s="89"/>
      <c r="AQ279" s="89"/>
      <c r="AR279" s="89"/>
      <c r="AS279" s="89"/>
      <c r="AT279" s="89"/>
      <c r="AU279" s="89"/>
      <c r="AV279" s="89"/>
      <c r="AW279" s="89"/>
      <c r="AX279" s="89"/>
      <c r="AY279" s="89"/>
      <c r="AZ279" s="89"/>
      <c r="BA279" s="89"/>
      <c r="BB279" s="89"/>
    </row>
    <row r="280" spans="1:54" ht="21" x14ac:dyDescent="0.35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89"/>
      <c r="AN280" s="89"/>
      <c r="AO280" s="89"/>
      <c r="AP280" s="89"/>
      <c r="AQ280" s="89"/>
      <c r="AR280" s="89"/>
      <c r="AS280" s="89"/>
      <c r="AT280" s="89"/>
      <c r="AU280" s="89"/>
      <c r="AV280" s="89"/>
      <c r="AW280" s="89"/>
      <c r="AX280" s="89"/>
      <c r="AY280" s="89"/>
      <c r="AZ280" s="89"/>
      <c r="BA280" s="89"/>
      <c r="BB280" s="89"/>
    </row>
    <row r="281" spans="1:54" ht="21" x14ac:dyDescent="0.35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  <c r="AC281" s="89"/>
      <c r="AD281" s="89"/>
      <c r="AE281" s="89"/>
      <c r="AF281" s="89"/>
      <c r="AG281" s="89"/>
      <c r="AH281" s="89"/>
      <c r="AI281" s="89"/>
      <c r="AJ281" s="89"/>
      <c r="AK281" s="89"/>
      <c r="AL281" s="89"/>
      <c r="AM281" s="89"/>
      <c r="AN281" s="89"/>
      <c r="AO281" s="89"/>
      <c r="AP281" s="89"/>
      <c r="AQ281" s="89"/>
      <c r="AR281" s="89"/>
      <c r="AS281" s="89"/>
      <c r="AT281" s="89"/>
      <c r="AU281" s="89"/>
      <c r="AV281" s="89"/>
      <c r="AW281" s="89"/>
      <c r="AX281" s="89"/>
      <c r="AY281" s="89"/>
      <c r="AZ281" s="89"/>
      <c r="BA281" s="89"/>
      <c r="BB281" s="89"/>
    </row>
    <row r="282" spans="1:54" ht="21" x14ac:dyDescent="0.35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  <c r="AD282" s="89"/>
      <c r="AE282" s="89"/>
      <c r="AF282" s="89"/>
      <c r="AG282" s="89"/>
      <c r="AH282" s="89"/>
      <c r="AI282" s="89"/>
      <c r="AJ282" s="89"/>
      <c r="AK282" s="89"/>
      <c r="AL282" s="89"/>
      <c r="AM282" s="89"/>
      <c r="AN282" s="89"/>
      <c r="AO282" s="89"/>
      <c r="AP282" s="89"/>
      <c r="AQ282" s="89"/>
      <c r="AR282" s="89"/>
      <c r="AS282" s="89"/>
      <c r="AT282" s="89"/>
      <c r="AU282" s="89"/>
      <c r="AV282" s="89"/>
      <c r="AW282" s="89"/>
      <c r="AX282" s="89"/>
      <c r="AY282" s="89"/>
      <c r="AZ282" s="89"/>
      <c r="BA282" s="89"/>
      <c r="BB282" s="89"/>
    </row>
    <row r="283" spans="1:54" ht="21" x14ac:dyDescent="0.35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  <c r="AD283" s="89"/>
      <c r="AE283" s="89"/>
      <c r="AF283" s="89"/>
      <c r="AG283" s="89"/>
      <c r="AH283" s="89"/>
      <c r="AI283" s="89"/>
      <c r="AJ283" s="89"/>
      <c r="AK283" s="89"/>
      <c r="AL283" s="89"/>
      <c r="AM283" s="89"/>
      <c r="AN283" s="89"/>
      <c r="AO283" s="89"/>
      <c r="AP283" s="89"/>
      <c r="AQ283" s="89"/>
      <c r="AR283" s="89"/>
      <c r="AS283" s="89"/>
      <c r="AT283" s="89"/>
      <c r="AU283" s="89"/>
      <c r="AV283" s="89"/>
      <c r="AW283" s="89"/>
      <c r="AX283" s="89"/>
      <c r="AY283" s="89"/>
      <c r="AZ283" s="89"/>
      <c r="BA283" s="89"/>
      <c r="BB283" s="89"/>
    </row>
    <row r="284" spans="1:54" ht="21" x14ac:dyDescent="0.35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  <c r="AD284" s="89"/>
      <c r="AE284" s="89"/>
      <c r="AF284" s="89"/>
      <c r="AG284" s="89"/>
      <c r="AH284" s="89"/>
      <c r="AI284" s="89"/>
      <c r="AJ284" s="89"/>
      <c r="AK284" s="89"/>
      <c r="AL284" s="89"/>
      <c r="AM284" s="89"/>
      <c r="AN284" s="89"/>
      <c r="AO284" s="89"/>
      <c r="AP284" s="89"/>
      <c r="AQ284" s="89"/>
      <c r="AR284" s="89"/>
      <c r="AS284" s="89"/>
      <c r="AT284" s="89"/>
      <c r="AU284" s="89"/>
      <c r="AV284" s="89"/>
      <c r="AW284" s="89"/>
      <c r="AX284" s="89"/>
      <c r="AY284" s="89"/>
      <c r="AZ284" s="89"/>
      <c r="BA284" s="89"/>
      <c r="BB284" s="89"/>
    </row>
    <row r="285" spans="1:54" ht="21" x14ac:dyDescent="0.35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  <c r="AD285" s="89"/>
      <c r="AE285" s="89"/>
      <c r="AF285" s="89"/>
      <c r="AG285" s="89"/>
      <c r="AH285" s="89"/>
      <c r="AI285" s="89"/>
      <c r="AJ285" s="89"/>
      <c r="AK285" s="89"/>
      <c r="AL285" s="89"/>
      <c r="AM285" s="89"/>
      <c r="AN285" s="89"/>
      <c r="AO285" s="89"/>
      <c r="AP285" s="89"/>
      <c r="AQ285" s="89"/>
      <c r="AR285" s="89"/>
      <c r="AS285" s="89"/>
      <c r="AT285" s="89"/>
      <c r="AU285" s="89"/>
      <c r="AV285" s="89"/>
      <c r="AW285" s="89"/>
      <c r="AX285" s="89"/>
      <c r="AY285" s="89"/>
      <c r="AZ285" s="89"/>
      <c r="BA285" s="89"/>
      <c r="BB285" s="89"/>
    </row>
    <row r="286" spans="1:54" ht="21" x14ac:dyDescent="0.35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  <c r="AD286" s="89"/>
      <c r="AE286" s="89"/>
      <c r="AF286" s="89"/>
      <c r="AG286" s="89"/>
      <c r="AH286" s="89"/>
      <c r="AI286" s="89"/>
      <c r="AJ286" s="89"/>
      <c r="AK286" s="89"/>
      <c r="AL286" s="89"/>
      <c r="AM286" s="89"/>
      <c r="AN286" s="89"/>
      <c r="AO286" s="89"/>
      <c r="AP286" s="89"/>
      <c r="AQ286" s="89"/>
      <c r="AR286" s="89"/>
      <c r="AS286" s="89"/>
      <c r="AT286" s="89"/>
      <c r="AU286" s="89"/>
      <c r="AV286" s="89"/>
      <c r="AW286" s="89"/>
      <c r="AX286" s="89"/>
      <c r="AY286" s="89"/>
      <c r="AZ286" s="89"/>
      <c r="BA286" s="89"/>
      <c r="BB286" s="89"/>
    </row>
    <row r="287" spans="1:54" ht="21" x14ac:dyDescent="0.35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  <c r="AD287" s="89"/>
      <c r="AE287" s="89"/>
      <c r="AF287" s="89"/>
      <c r="AG287" s="89"/>
      <c r="AH287" s="89"/>
      <c r="AI287" s="89"/>
      <c r="AJ287" s="89"/>
      <c r="AK287" s="89"/>
      <c r="AL287" s="89"/>
      <c r="AM287" s="89"/>
      <c r="AN287" s="89"/>
      <c r="AO287" s="89"/>
      <c r="AP287" s="89"/>
      <c r="AQ287" s="89"/>
      <c r="AR287" s="89"/>
      <c r="AS287" s="89"/>
      <c r="AT287" s="89"/>
      <c r="AU287" s="89"/>
      <c r="AV287" s="89"/>
      <c r="AW287" s="89"/>
      <c r="AX287" s="89"/>
      <c r="AY287" s="89"/>
      <c r="AZ287" s="89"/>
      <c r="BA287" s="89"/>
      <c r="BB287" s="89"/>
    </row>
    <row r="288" spans="1:54" ht="21" x14ac:dyDescent="0.35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  <c r="AD288" s="89"/>
      <c r="AE288" s="89"/>
      <c r="AF288" s="89"/>
      <c r="AG288" s="89"/>
      <c r="AH288" s="89"/>
      <c r="AI288" s="89"/>
      <c r="AJ288" s="89"/>
      <c r="AK288" s="89"/>
      <c r="AL288" s="89"/>
      <c r="AM288" s="89"/>
      <c r="AN288" s="89"/>
      <c r="AO288" s="89"/>
      <c r="AP288" s="89"/>
      <c r="AQ288" s="89"/>
      <c r="AR288" s="89"/>
      <c r="AS288" s="89"/>
      <c r="AT288" s="89"/>
      <c r="AU288" s="89"/>
      <c r="AV288" s="89"/>
      <c r="AW288" s="89"/>
      <c r="AX288" s="89"/>
      <c r="AY288" s="89"/>
      <c r="AZ288" s="89"/>
      <c r="BA288" s="89"/>
      <c r="BB288" s="89"/>
    </row>
    <row r="289" spans="1:54" ht="21" x14ac:dyDescent="0.35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89"/>
      <c r="AN289" s="89"/>
      <c r="AO289" s="89"/>
      <c r="AP289" s="89"/>
      <c r="AQ289" s="89"/>
      <c r="AR289" s="89"/>
      <c r="AS289" s="89"/>
      <c r="AT289" s="89"/>
      <c r="AU289" s="89"/>
      <c r="AV289" s="89"/>
      <c r="AW289" s="89"/>
      <c r="AX289" s="89"/>
      <c r="AY289" s="89"/>
      <c r="AZ289" s="89"/>
      <c r="BA289" s="89"/>
      <c r="BB289" s="89"/>
    </row>
    <row r="290" spans="1:54" ht="21" x14ac:dyDescent="0.35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  <c r="AD290" s="89"/>
      <c r="AE290" s="89"/>
      <c r="AF290" s="89"/>
      <c r="AG290" s="89"/>
      <c r="AH290" s="89"/>
      <c r="AI290" s="89"/>
      <c r="AJ290" s="89"/>
      <c r="AK290" s="89"/>
      <c r="AL290" s="89"/>
      <c r="AM290" s="89"/>
      <c r="AN290" s="89"/>
      <c r="AO290" s="89"/>
      <c r="AP290" s="89"/>
      <c r="AQ290" s="89"/>
      <c r="AR290" s="89"/>
      <c r="AS290" s="89"/>
      <c r="AT290" s="89"/>
      <c r="AU290" s="89"/>
      <c r="AV290" s="89"/>
      <c r="AW290" s="89"/>
      <c r="AX290" s="89"/>
      <c r="AY290" s="89"/>
      <c r="AZ290" s="89"/>
      <c r="BA290" s="89"/>
      <c r="BB290" s="89"/>
    </row>
    <row r="291" spans="1:54" ht="21" x14ac:dyDescent="0.35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  <c r="AC291" s="89"/>
      <c r="AD291" s="89"/>
      <c r="AE291" s="89"/>
      <c r="AF291" s="89"/>
      <c r="AG291" s="89"/>
      <c r="AH291" s="89"/>
      <c r="AI291" s="89"/>
      <c r="AJ291" s="89"/>
      <c r="AK291" s="89"/>
      <c r="AL291" s="89"/>
      <c r="AM291" s="89"/>
      <c r="AN291" s="89"/>
      <c r="AO291" s="89"/>
      <c r="AP291" s="89"/>
      <c r="AQ291" s="89"/>
      <c r="AR291" s="89"/>
      <c r="AS291" s="89"/>
      <c r="AT291" s="89"/>
      <c r="AU291" s="89"/>
      <c r="AV291" s="89"/>
      <c r="AW291" s="89"/>
      <c r="AX291" s="89"/>
      <c r="AY291" s="89"/>
      <c r="AZ291" s="89"/>
      <c r="BA291" s="89"/>
      <c r="BB291" s="89"/>
    </row>
    <row r="292" spans="1:54" ht="21" x14ac:dyDescent="0.35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  <c r="AD292" s="89"/>
      <c r="AE292" s="89"/>
      <c r="AF292" s="89"/>
      <c r="AG292" s="89"/>
      <c r="AH292" s="89"/>
      <c r="AI292" s="89"/>
      <c r="AJ292" s="89"/>
      <c r="AK292" s="89"/>
      <c r="AL292" s="89"/>
      <c r="AM292" s="89"/>
      <c r="AN292" s="89"/>
      <c r="AO292" s="89"/>
      <c r="AP292" s="89"/>
      <c r="AQ292" s="89"/>
      <c r="AR292" s="89"/>
      <c r="AS292" s="89"/>
      <c r="AT292" s="89"/>
      <c r="AU292" s="89"/>
      <c r="AV292" s="89"/>
      <c r="AW292" s="89"/>
      <c r="AX292" s="89"/>
      <c r="AY292" s="89"/>
      <c r="AZ292" s="89"/>
      <c r="BA292" s="89"/>
      <c r="BB292" s="89"/>
    </row>
    <row r="293" spans="1:54" ht="21" x14ac:dyDescent="0.35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  <c r="AD293" s="89"/>
      <c r="AE293" s="89"/>
      <c r="AF293" s="89"/>
      <c r="AG293" s="89"/>
      <c r="AH293" s="89"/>
      <c r="AI293" s="89"/>
      <c r="AJ293" s="89"/>
      <c r="AK293" s="89"/>
      <c r="AL293" s="89"/>
      <c r="AM293" s="89"/>
      <c r="AN293" s="89"/>
      <c r="AO293" s="89"/>
      <c r="AP293" s="89"/>
      <c r="AQ293" s="89"/>
      <c r="AR293" s="89"/>
      <c r="AS293" s="89"/>
      <c r="AT293" s="89"/>
      <c r="AU293" s="89"/>
      <c r="AV293" s="89"/>
      <c r="AW293" s="89"/>
      <c r="AX293" s="89"/>
      <c r="AY293" s="89"/>
      <c r="AZ293" s="89"/>
      <c r="BA293" s="89"/>
      <c r="BB293" s="89"/>
    </row>
    <row r="294" spans="1:54" ht="21" x14ac:dyDescent="0.35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  <c r="AD294" s="89"/>
      <c r="AE294" s="89"/>
      <c r="AF294" s="89"/>
      <c r="AG294" s="89"/>
      <c r="AH294" s="89"/>
      <c r="AI294" s="89"/>
      <c r="AJ294" s="89"/>
      <c r="AK294" s="89"/>
      <c r="AL294" s="89"/>
      <c r="AM294" s="89"/>
      <c r="AN294" s="89"/>
      <c r="AO294" s="89"/>
      <c r="AP294" s="89"/>
      <c r="AQ294" s="89"/>
      <c r="AR294" s="89"/>
      <c r="AS294" s="89"/>
      <c r="AT294" s="89"/>
      <c r="AU294" s="89"/>
      <c r="AV294" s="89"/>
      <c r="AW294" s="89"/>
      <c r="AX294" s="89"/>
      <c r="AY294" s="89"/>
      <c r="AZ294" s="89"/>
      <c r="BA294" s="89"/>
      <c r="BB294" s="89"/>
    </row>
    <row r="295" spans="1:54" ht="21" x14ac:dyDescent="0.35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  <c r="AD295" s="89"/>
      <c r="AE295" s="89"/>
      <c r="AF295" s="89"/>
      <c r="AG295" s="89"/>
      <c r="AH295" s="89"/>
      <c r="AI295" s="89"/>
      <c r="AJ295" s="89"/>
      <c r="AK295" s="89"/>
      <c r="AL295" s="89"/>
      <c r="AM295" s="89"/>
      <c r="AN295" s="89"/>
      <c r="AO295" s="89"/>
      <c r="AP295" s="89"/>
      <c r="AQ295" s="89"/>
      <c r="AR295" s="89"/>
      <c r="AS295" s="89"/>
      <c r="AT295" s="89"/>
      <c r="AU295" s="89"/>
      <c r="AV295" s="89"/>
      <c r="AW295" s="89"/>
      <c r="AX295" s="89"/>
      <c r="AY295" s="89"/>
      <c r="AZ295" s="89"/>
      <c r="BA295" s="89"/>
      <c r="BB295" s="89"/>
    </row>
    <row r="296" spans="1:54" ht="21" x14ac:dyDescent="0.35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  <c r="AD296" s="89"/>
      <c r="AE296" s="89"/>
      <c r="AF296" s="89"/>
      <c r="AG296" s="89"/>
      <c r="AH296" s="89"/>
      <c r="AI296" s="89"/>
      <c r="AJ296" s="89"/>
      <c r="AK296" s="89"/>
      <c r="AL296" s="89"/>
      <c r="AM296" s="89"/>
      <c r="AN296" s="89"/>
      <c r="AO296" s="89"/>
      <c r="AP296" s="89"/>
      <c r="AQ296" s="89"/>
      <c r="AR296" s="89"/>
      <c r="AS296" s="89"/>
      <c r="AT296" s="89"/>
      <c r="AU296" s="89"/>
      <c r="AV296" s="89"/>
      <c r="AW296" s="89"/>
      <c r="AX296" s="89"/>
      <c r="AY296" s="89"/>
      <c r="AZ296" s="89"/>
      <c r="BA296" s="89"/>
      <c r="BB296" s="89"/>
    </row>
    <row r="297" spans="1:54" ht="21" x14ac:dyDescent="0.35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  <c r="AD297" s="89"/>
      <c r="AE297" s="89"/>
      <c r="AF297" s="89"/>
      <c r="AG297" s="89"/>
      <c r="AH297" s="89"/>
      <c r="AI297" s="89"/>
      <c r="AJ297" s="89"/>
      <c r="AK297" s="89"/>
      <c r="AL297" s="89"/>
      <c r="AM297" s="89"/>
      <c r="AN297" s="89"/>
      <c r="AO297" s="89"/>
      <c r="AP297" s="89"/>
      <c r="AQ297" s="89"/>
      <c r="AR297" s="89"/>
      <c r="AS297" s="89"/>
      <c r="AT297" s="89"/>
      <c r="AU297" s="89"/>
      <c r="AV297" s="89"/>
      <c r="AW297" s="89"/>
      <c r="AX297" s="89"/>
      <c r="AY297" s="89"/>
      <c r="AZ297" s="89"/>
      <c r="BA297" s="89"/>
      <c r="BB297" s="89"/>
    </row>
    <row r="298" spans="1:54" ht="21" x14ac:dyDescent="0.35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  <c r="AD298" s="89"/>
      <c r="AE298" s="89"/>
      <c r="AF298" s="89"/>
      <c r="AG298" s="89"/>
      <c r="AH298" s="89"/>
      <c r="AI298" s="89"/>
      <c r="AJ298" s="89"/>
      <c r="AK298" s="89"/>
      <c r="AL298" s="89"/>
      <c r="AM298" s="89"/>
      <c r="AN298" s="89"/>
      <c r="AO298" s="89"/>
      <c r="AP298" s="89"/>
      <c r="AQ298" s="89"/>
      <c r="AR298" s="89"/>
      <c r="AS298" s="89"/>
      <c r="AT298" s="89"/>
      <c r="AU298" s="89"/>
      <c r="AV298" s="89"/>
      <c r="AW298" s="89"/>
      <c r="AX298" s="89"/>
      <c r="AY298" s="89"/>
      <c r="AZ298" s="89"/>
      <c r="BA298" s="89"/>
      <c r="BB298" s="89"/>
    </row>
    <row r="299" spans="1:54" ht="21" x14ac:dyDescent="0.35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  <c r="AD299" s="89"/>
      <c r="AE299" s="89"/>
      <c r="AF299" s="89"/>
      <c r="AG299" s="89"/>
      <c r="AH299" s="89"/>
      <c r="AI299" s="89"/>
      <c r="AJ299" s="89"/>
      <c r="AK299" s="89"/>
      <c r="AL299" s="89"/>
      <c r="AM299" s="89"/>
      <c r="AN299" s="89"/>
      <c r="AO299" s="89"/>
      <c r="AP299" s="89"/>
      <c r="AQ299" s="89"/>
      <c r="AR299" s="89"/>
      <c r="AS299" s="89"/>
      <c r="AT299" s="89"/>
      <c r="AU299" s="89"/>
      <c r="AV299" s="89"/>
      <c r="AW299" s="89"/>
      <c r="AX299" s="89"/>
      <c r="AY299" s="89"/>
      <c r="AZ299" s="89"/>
      <c r="BA299" s="89"/>
      <c r="BB299" s="89"/>
    </row>
    <row r="300" spans="1:54" ht="21" x14ac:dyDescent="0.35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  <c r="AD300" s="89"/>
      <c r="AE300" s="89"/>
      <c r="AF300" s="89"/>
      <c r="AG300" s="89"/>
      <c r="AH300" s="89"/>
      <c r="AI300" s="89"/>
      <c r="AJ300" s="89"/>
      <c r="AK300" s="89"/>
      <c r="AL300" s="89"/>
      <c r="AM300" s="89"/>
      <c r="AN300" s="89"/>
      <c r="AO300" s="89"/>
      <c r="AP300" s="89"/>
      <c r="AQ300" s="89"/>
      <c r="AR300" s="89"/>
      <c r="AS300" s="89"/>
      <c r="AT300" s="89"/>
      <c r="AU300" s="89"/>
      <c r="AV300" s="89"/>
      <c r="AW300" s="89"/>
      <c r="AX300" s="89"/>
      <c r="AY300" s="89"/>
      <c r="AZ300" s="89"/>
      <c r="BA300" s="89"/>
      <c r="BB300" s="89"/>
    </row>
    <row r="301" spans="1:54" ht="21" x14ac:dyDescent="0.35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  <c r="AC301" s="89"/>
      <c r="AD301" s="89"/>
      <c r="AE301" s="89"/>
      <c r="AF301" s="89"/>
      <c r="AG301" s="89"/>
      <c r="AH301" s="89"/>
      <c r="AI301" s="89"/>
      <c r="AJ301" s="89"/>
      <c r="AK301" s="89"/>
      <c r="AL301" s="89"/>
      <c r="AM301" s="89"/>
      <c r="AN301" s="89"/>
      <c r="AO301" s="89"/>
      <c r="AP301" s="89"/>
      <c r="AQ301" s="89"/>
      <c r="AR301" s="89"/>
      <c r="AS301" s="89"/>
      <c r="AT301" s="89"/>
      <c r="AU301" s="89"/>
      <c r="AV301" s="89"/>
      <c r="AW301" s="89"/>
      <c r="AX301" s="89"/>
      <c r="AY301" s="89"/>
      <c r="AZ301" s="89"/>
      <c r="BA301" s="89"/>
      <c r="BB301" s="89"/>
    </row>
    <row r="302" spans="1:54" ht="21" x14ac:dyDescent="0.35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  <c r="AD302" s="89"/>
      <c r="AE302" s="89"/>
      <c r="AF302" s="89"/>
      <c r="AG302" s="89"/>
      <c r="AH302" s="89"/>
      <c r="AI302" s="89"/>
      <c r="AJ302" s="89"/>
      <c r="AK302" s="89"/>
      <c r="AL302" s="89"/>
      <c r="AM302" s="89"/>
      <c r="AN302" s="89"/>
      <c r="AO302" s="89"/>
      <c r="AP302" s="89"/>
      <c r="AQ302" s="89"/>
      <c r="AR302" s="89"/>
      <c r="AS302" s="89"/>
      <c r="AT302" s="89"/>
      <c r="AU302" s="89"/>
      <c r="AV302" s="89"/>
      <c r="AW302" s="89"/>
      <c r="AX302" s="89"/>
      <c r="AY302" s="89"/>
      <c r="AZ302" s="89"/>
      <c r="BA302" s="89"/>
      <c r="BB302" s="89"/>
    </row>
    <row r="303" spans="1:54" ht="21" x14ac:dyDescent="0.35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  <c r="AD303" s="89"/>
      <c r="AE303" s="89"/>
      <c r="AF303" s="89"/>
      <c r="AG303" s="89"/>
      <c r="AH303" s="89"/>
      <c r="AI303" s="89"/>
      <c r="AJ303" s="89"/>
      <c r="AK303" s="89"/>
      <c r="AL303" s="89"/>
      <c r="AM303" s="89"/>
      <c r="AN303" s="89"/>
      <c r="AO303" s="89"/>
      <c r="AP303" s="89"/>
      <c r="AQ303" s="89"/>
      <c r="AR303" s="89"/>
      <c r="AS303" s="89"/>
      <c r="AT303" s="89"/>
      <c r="AU303" s="89"/>
      <c r="AV303" s="89"/>
      <c r="AW303" s="89"/>
      <c r="AX303" s="89"/>
      <c r="AY303" s="89"/>
      <c r="AZ303" s="89"/>
      <c r="BA303" s="89"/>
      <c r="BB303" s="89"/>
    </row>
    <row r="304" spans="1:54" ht="21" x14ac:dyDescent="0.35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  <c r="AD304" s="89"/>
      <c r="AE304" s="89"/>
      <c r="AF304" s="89"/>
      <c r="AG304" s="89"/>
      <c r="AH304" s="89"/>
      <c r="AI304" s="89"/>
      <c r="AJ304" s="89"/>
      <c r="AK304" s="89"/>
      <c r="AL304" s="89"/>
      <c r="AM304" s="89"/>
      <c r="AN304" s="89"/>
      <c r="AO304" s="89"/>
      <c r="AP304" s="89"/>
      <c r="AQ304" s="89"/>
      <c r="AR304" s="89"/>
      <c r="AS304" s="89"/>
      <c r="AT304" s="89"/>
      <c r="AU304" s="89"/>
      <c r="AV304" s="89"/>
      <c r="AW304" s="89"/>
      <c r="AX304" s="89"/>
      <c r="AY304" s="89"/>
      <c r="AZ304" s="89"/>
      <c r="BA304" s="89"/>
      <c r="BB304" s="89"/>
    </row>
    <row r="305" spans="1:54" ht="21" x14ac:dyDescent="0.35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  <c r="AD305" s="89"/>
      <c r="AE305" s="89"/>
      <c r="AF305" s="89"/>
      <c r="AG305" s="89"/>
      <c r="AH305" s="89"/>
      <c r="AI305" s="89"/>
      <c r="AJ305" s="89"/>
      <c r="AK305" s="89"/>
      <c r="AL305" s="89"/>
      <c r="AM305" s="89"/>
      <c r="AN305" s="89"/>
      <c r="AO305" s="89"/>
      <c r="AP305" s="89"/>
      <c r="AQ305" s="89"/>
      <c r="AR305" s="89"/>
      <c r="AS305" s="89"/>
      <c r="AT305" s="89"/>
      <c r="AU305" s="89"/>
      <c r="AV305" s="89"/>
      <c r="AW305" s="89"/>
      <c r="AX305" s="89"/>
      <c r="AY305" s="89"/>
      <c r="AZ305" s="89"/>
      <c r="BA305" s="89"/>
      <c r="BB305" s="89"/>
    </row>
    <row r="306" spans="1:54" ht="21" x14ac:dyDescent="0.35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89"/>
      <c r="AE306" s="89"/>
      <c r="AF306" s="89"/>
      <c r="AG306" s="89"/>
      <c r="AH306" s="89"/>
      <c r="AI306" s="89"/>
      <c r="AJ306" s="89"/>
      <c r="AK306" s="89"/>
      <c r="AL306" s="89"/>
      <c r="AM306" s="89"/>
      <c r="AN306" s="89"/>
      <c r="AO306" s="89"/>
      <c r="AP306" s="89"/>
      <c r="AQ306" s="89"/>
      <c r="AR306" s="89"/>
      <c r="AS306" s="89"/>
      <c r="AT306" s="89"/>
      <c r="AU306" s="89"/>
      <c r="AV306" s="89"/>
      <c r="AW306" s="89"/>
      <c r="AX306" s="89"/>
      <c r="AY306" s="89"/>
      <c r="AZ306" s="89"/>
      <c r="BA306" s="89"/>
      <c r="BB306" s="89"/>
    </row>
    <row r="307" spans="1:54" ht="21" x14ac:dyDescent="0.35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  <c r="AD307" s="89"/>
      <c r="AE307" s="89"/>
      <c r="AF307" s="89"/>
      <c r="AG307" s="89"/>
      <c r="AH307" s="89"/>
      <c r="AI307" s="89"/>
      <c r="AJ307" s="89"/>
      <c r="AK307" s="89"/>
      <c r="AL307" s="89"/>
      <c r="AM307" s="89"/>
      <c r="AN307" s="89"/>
      <c r="AO307" s="89"/>
      <c r="AP307" s="89"/>
      <c r="AQ307" s="89"/>
      <c r="AR307" s="89"/>
      <c r="AS307" s="89"/>
      <c r="AT307" s="89"/>
      <c r="AU307" s="89"/>
      <c r="AV307" s="89"/>
      <c r="AW307" s="89"/>
      <c r="AX307" s="89"/>
      <c r="AY307" s="89"/>
      <c r="AZ307" s="89"/>
      <c r="BA307" s="89"/>
      <c r="BB307" s="89"/>
    </row>
    <row r="308" spans="1:54" ht="21" x14ac:dyDescent="0.35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  <c r="AD308" s="89"/>
      <c r="AE308" s="89"/>
      <c r="AF308" s="89"/>
      <c r="AG308" s="89"/>
      <c r="AH308" s="89"/>
      <c r="AI308" s="89"/>
      <c r="AJ308" s="89"/>
      <c r="AK308" s="89"/>
      <c r="AL308" s="89"/>
      <c r="AM308" s="89"/>
      <c r="AN308" s="89"/>
      <c r="AO308" s="89"/>
      <c r="AP308" s="89"/>
      <c r="AQ308" s="89"/>
      <c r="AR308" s="89"/>
      <c r="AS308" s="89"/>
      <c r="AT308" s="89"/>
      <c r="AU308" s="89"/>
      <c r="AV308" s="89"/>
      <c r="AW308" s="89"/>
      <c r="AX308" s="89"/>
      <c r="AY308" s="89"/>
      <c r="AZ308" s="89"/>
      <c r="BA308" s="89"/>
      <c r="BB308" s="89"/>
    </row>
    <row r="309" spans="1:54" ht="21" x14ac:dyDescent="0.35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  <c r="AD309" s="89"/>
      <c r="AE309" s="89"/>
      <c r="AF309" s="89"/>
      <c r="AG309" s="89"/>
      <c r="AH309" s="89"/>
      <c r="AI309" s="89"/>
      <c r="AJ309" s="89"/>
      <c r="AK309" s="89"/>
      <c r="AL309" s="89"/>
      <c r="AM309" s="89"/>
      <c r="AN309" s="89"/>
      <c r="AO309" s="89"/>
      <c r="AP309" s="89"/>
      <c r="AQ309" s="89"/>
      <c r="AR309" s="89"/>
      <c r="AS309" s="89"/>
      <c r="AT309" s="89"/>
      <c r="AU309" s="89"/>
      <c r="AV309" s="89"/>
      <c r="AW309" s="89"/>
      <c r="AX309" s="89"/>
      <c r="AY309" s="89"/>
      <c r="AZ309" s="89"/>
      <c r="BA309" s="89"/>
      <c r="BB309" s="89"/>
    </row>
    <row r="310" spans="1:54" ht="21" x14ac:dyDescent="0.35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  <c r="AD310" s="89"/>
      <c r="AE310" s="89"/>
      <c r="AF310" s="89"/>
      <c r="AG310" s="89"/>
      <c r="AH310" s="89"/>
      <c r="AI310" s="89"/>
      <c r="AJ310" s="89"/>
      <c r="AK310" s="89"/>
      <c r="AL310" s="89"/>
      <c r="AM310" s="89"/>
      <c r="AN310" s="89"/>
      <c r="AO310" s="89"/>
      <c r="AP310" s="89"/>
      <c r="AQ310" s="89"/>
      <c r="AR310" s="89"/>
      <c r="AS310" s="89"/>
      <c r="AT310" s="89"/>
      <c r="AU310" s="89"/>
      <c r="AV310" s="89"/>
      <c r="AW310" s="89"/>
      <c r="AX310" s="89"/>
      <c r="AY310" s="89"/>
      <c r="AZ310" s="89"/>
      <c r="BA310" s="89"/>
      <c r="BB310" s="89"/>
    </row>
    <row r="311" spans="1:54" ht="21" x14ac:dyDescent="0.35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  <c r="AD311" s="89"/>
      <c r="AE311" s="89"/>
      <c r="AF311" s="89"/>
      <c r="AG311" s="89"/>
      <c r="AH311" s="89"/>
      <c r="AI311" s="89"/>
      <c r="AJ311" s="89"/>
      <c r="AK311" s="89"/>
      <c r="AL311" s="89"/>
      <c r="AM311" s="89"/>
      <c r="AN311" s="89"/>
      <c r="AO311" s="89"/>
      <c r="AP311" s="89"/>
      <c r="AQ311" s="89"/>
      <c r="AR311" s="89"/>
      <c r="AS311" s="89"/>
      <c r="AT311" s="89"/>
      <c r="AU311" s="89"/>
      <c r="AV311" s="89"/>
      <c r="AW311" s="89"/>
      <c r="AX311" s="89"/>
      <c r="AY311" s="89"/>
      <c r="AZ311" s="89"/>
      <c r="BA311" s="89"/>
      <c r="BB311" s="89"/>
    </row>
    <row r="312" spans="1:54" ht="21" x14ac:dyDescent="0.35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  <c r="AD312" s="89"/>
      <c r="AE312" s="89"/>
      <c r="AF312" s="89"/>
      <c r="AG312" s="89"/>
      <c r="AH312" s="89"/>
      <c r="AI312" s="89"/>
      <c r="AJ312" s="89"/>
      <c r="AK312" s="89"/>
      <c r="AL312" s="89"/>
      <c r="AM312" s="89"/>
      <c r="AN312" s="89"/>
      <c r="AO312" s="89"/>
      <c r="AP312" s="89"/>
      <c r="AQ312" s="89"/>
      <c r="AR312" s="89"/>
      <c r="AS312" s="89"/>
      <c r="AT312" s="89"/>
      <c r="AU312" s="89"/>
      <c r="AV312" s="89"/>
      <c r="AW312" s="89"/>
      <c r="AX312" s="89"/>
      <c r="AY312" s="89"/>
      <c r="AZ312" s="89"/>
      <c r="BA312" s="89"/>
      <c r="BB312" s="89"/>
    </row>
    <row r="313" spans="1:54" ht="21" x14ac:dyDescent="0.35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  <c r="AC313" s="89"/>
      <c r="AD313" s="89"/>
      <c r="AE313" s="89"/>
      <c r="AF313" s="89"/>
      <c r="AG313" s="89"/>
      <c r="AH313" s="89"/>
      <c r="AI313" s="89"/>
      <c r="AJ313" s="89"/>
      <c r="AK313" s="89"/>
      <c r="AL313" s="89"/>
      <c r="AM313" s="89"/>
      <c r="AN313" s="89"/>
      <c r="AO313" s="89"/>
      <c r="AP313" s="89"/>
      <c r="AQ313" s="89"/>
      <c r="AR313" s="89"/>
      <c r="AS313" s="89"/>
      <c r="AT313" s="89"/>
      <c r="AU313" s="89"/>
      <c r="AV313" s="89"/>
      <c r="AW313" s="89"/>
      <c r="AX313" s="89"/>
      <c r="AY313" s="89"/>
      <c r="AZ313" s="89"/>
      <c r="BA313" s="89"/>
      <c r="BB313" s="89"/>
    </row>
    <row r="314" spans="1:54" ht="21" x14ac:dyDescent="0.35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  <c r="AD314" s="89"/>
      <c r="AE314" s="89"/>
      <c r="AF314" s="89"/>
      <c r="AG314" s="89"/>
      <c r="AH314" s="89"/>
      <c r="AI314" s="89"/>
      <c r="AJ314" s="89"/>
      <c r="AK314" s="89"/>
      <c r="AL314" s="89"/>
      <c r="AM314" s="89"/>
      <c r="AN314" s="89"/>
      <c r="AO314" s="89"/>
      <c r="AP314" s="89"/>
      <c r="AQ314" s="89"/>
      <c r="AR314" s="89"/>
      <c r="AS314" s="89"/>
      <c r="AT314" s="89"/>
      <c r="AU314" s="89"/>
      <c r="AV314" s="89"/>
      <c r="AW314" s="89"/>
      <c r="AX314" s="89"/>
      <c r="AY314" s="89"/>
      <c r="AZ314" s="89"/>
      <c r="BA314" s="89"/>
      <c r="BB314" s="89"/>
    </row>
    <row r="315" spans="1:54" ht="21" x14ac:dyDescent="0.35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  <c r="AD315" s="89"/>
      <c r="AE315" s="89"/>
      <c r="AF315" s="89"/>
      <c r="AG315" s="89"/>
      <c r="AH315" s="89"/>
      <c r="AI315" s="89"/>
      <c r="AJ315" s="89"/>
      <c r="AK315" s="89"/>
      <c r="AL315" s="89"/>
      <c r="AM315" s="89"/>
      <c r="AN315" s="89"/>
      <c r="AO315" s="89"/>
      <c r="AP315" s="89"/>
      <c r="AQ315" s="89"/>
      <c r="AR315" s="89"/>
      <c r="AS315" s="89"/>
      <c r="AT315" s="89"/>
      <c r="AU315" s="89"/>
      <c r="AV315" s="89"/>
      <c r="AW315" s="89"/>
      <c r="AX315" s="89"/>
      <c r="AY315" s="89"/>
      <c r="AZ315" s="89"/>
      <c r="BA315" s="89"/>
      <c r="BB315" s="89"/>
    </row>
    <row r="316" spans="1:54" ht="21" x14ac:dyDescent="0.35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  <c r="AD316" s="89"/>
      <c r="AE316" s="89"/>
      <c r="AF316" s="89"/>
      <c r="AG316" s="89"/>
      <c r="AH316" s="89"/>
      <c r="AI316" s="89"/>
      <c r="AJ316" s="89"/>
      <c r="AK316" s="89"/>
      <c r="AL316" s="89"/>
      <c r="AM316" s="89"/>
      <c r="AN316" s="89"/>
      <c r="AO316" s="89"/>
      <c r="AP316" s="89"/>
      <c r="AQ316" s="89"/>
      <c r="AR316" s="89"/>
      <c r="AS316" s="89"/>
      <c r="AT316" s="89"/>
      <c r="AU316" s="89"/>
      <c r="AV316" s="89"/>
      <c r="AW316" s="89"/>
      <c r="AX316" s="89"/>
      <c r="AY316" s="89"/>
      <c r="AZ316" s="89"/>
      <c r="BA316" s="89"/>
      <c r="BB316" s="89"/>
    </row>
    <row r="317" spans="1:54" ht="21" x14ac:dyDescent="0.35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  <c r="AD317" s="89"/>
      <c r="AE317" s="89"/>
      <c r="AF317" s="89"/>
      <c r="AG317" s="89"/>
      <c r="AH317" s="89"/>
      <c r="AI317" s="89"/>
      <c r="AJ317" s="89"/>
      <c r="AK317" s="89"/>
      <c r="AL317" s="89"/>
      <c r="AM317" s="89"/>
      <c r="AN317" s="89"/>
      <c r="AO317" s="89"/>
      <c r="AP317" s="89"/>
      <c r="AQ317" s="89"/>
      <c r="AR317" s="89"/>
      <c r="AS317" s="89"/>
      <c r="AT317" s="89"/>
      <c r="AU317" s="89"/>
      <c r="AV317" s="89"/>
      <c r="AW317" s="89"/>
      <c r="AX317" s="89"/>
      <c r="AY317" s="89"/>
      <c r="AZ317" s="89"/>
      <c r="BA317" s="89"/>
      <c r="BB317" s="89"/>
    </row>
    <row r="318" spans="1:54" ht="21" x14ac:dyDescent="0.35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  <c r="AD318" s="89"/>
      <c r="AE318" s="89"/>
      <c r="AF318" s="89"/>
      <c r="AG318" s="89"/>
      <c r="AH318" s="89"/>
      <c r="AI318" s="89"/>
      <c r="AJ318" s="89"/>
      <c r="AK318" s="89"/>
      <c r="AL318" s="89"/>
      <c r="AM318" s="89"/>
      <c r="AN318" s="89"/>
      <c r="AO318" s="89"/>
      <c r="AP318" s="89"/>
      <c r="AQ318" s="89"/>
      <c r="AR318" s="89"/>
      <c r="AS318" s="89"/>
      <c r="AT318" s="89"/>
      <c r="AU318" s="89"/>
      <c r="AV318" s="89"/>
      <c r="AW318" s="89"/>
      <c r="AX318" s="89"/>
      <c r="AY318" s="89"/>
      <c r="AZ318" s="89"/>
      <c r="BA318" s="89"/>
      <c r="BB318" s="89"/>
    </row>
    <row r="319" spans="1:54" ht="21" x14ac:dyDescent="0.35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  <c r="AD319" s="89"/>
      <c r="AE319" s="89"/>
      <c r="AF319" s="89"/>
      <c r="AG319" s="89"/>
      <c r="AH319" s="89"/>
      <c r="AI319" s="89"/>
      <c r="AJ319" s="89"/>
      <c r="AK319" s="89"/>
      <c r="AL319" s="89"/>
      <c r="AM319" s="89"/>
      <c r="AN319" s="89"/>
      <c r="AO319" s="89"/>
      <c r="AP319" s="89"/>
      <c r="AQ319" s="89"/>
      <c r="AR319" s="89"/>
      <c r="AS319" s="89"/>
      <c r="AT319" s="89"/>
      <c r="AU319" s="89"/>
      <c r="AV319" s="89"/>
      <c r="AW319" s="89"/>
      <c r="AX319" s="89"/>
      <c r="AY319" s="89"/>
      <c r="AZ319" s="89"/>
      <c r="BA319" s="89"/>
      <c r="BB319" s="89"/>
    </row>
    <row r="320" spans="1:54" ht="21" x14ac:dyDescent="0.35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  <c r="AD320" s="89"/>
      <c r="AE320" s="89"/>
      <c r="AF320" s="89"/>
      <c r="AG320" s="89"/>
      <c r="AH320" s="89"/>
      <c r="AI320" s="89"/>
      <c r="AJ320" s="89"/>
      <c r="AK320" s="89"/>
      <c r="AL320" s="89"/>
      <c r="AM320" s="89"/>
      <c r="AN320" s="89"/>
      <c r="AO320" s="89"/>
      <c r="AP320" s="89"/>
      <c r="AQ320" s="89"/>
      <c r="AR320" s="89"/>
      <c r="AS320" s="89"/>
      <c r="AT320" s="89"/>
      <c r="AU320" s="89"/>
      <c r="AV320" s="89"/>
      <c r="AW320" s="89"/>
      <c r="AX320" s="89"/>
      <c r="AY320" s="89"/>
      <c r="AZ320" s="89"/>
      <c r="BA320" s="89"/>
      <c r="BB320" s="89"/>
    </row>
    <row r="321" spans="1:54" ht="21" x14ac:dyDescent="0.35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  <c r="AD321" s="89"/>
      <c r="AE321" s="89"/>
      <c r="AF321" s="89"/>
      <c r="AG321" s="89"/>
      <c r="AH321" s="89"/>
      <c r="AI321" s="89"/>
      <c r="AJ321" s="89"/>
      <c r="AK321" s="89"/>
      <c r="AL321" s="89"/>
      <c r="AM321" s="89"/>
      <c r="AN321" s="89"/>
      <c r="AO321" s="89"/>
      <c r="AP321" s="89"/>
      <c r="AQ321" s="89"/>
      <c r="AR321" s="89"/>
      <c r="AS321" s="89"/>
      <c r="AT321" s="89"/>
      <c r="AU321" s="89"/>
      <c r="AV321" s="89"/>
      <c r="AW321" s="89"/>
      <c r="AX321" s="89"/>
      <c r="AY321" s="89"/>
      <c r="AZ321" s="89"/>
      <c r="BA321" s="89"/>
      <c r="BB321" s="89"/>
    </row>
    <row r="322" spans="1:54" ht="21" x14ac:dyDescent="0.35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  <c r="AD322" s="89"/>
      <c r="AE322" s="89"/>
      <c r="AF322" s="89"/>
      <c r="AG322" s="89"/>
      <c r="AH322" s="89"/>
      <c r="AI322" s="89"/>
      <c r="AJ322" s="89"/>
      <c r="AK322" s="89"/>
      <c r="AL322" s="89"/>
      <c r="AM322" s="89"/>
      <c r="AN322" s="89"/>
      <c r="AO322" s="89"/>
      <c r="AP322" s="89"/>
      <c r="AQ322" s="89"/>
      <c r="AR322" s="89"/>
      <c r="AS322" s="89"/>
      <c r="AT322" s="89"/>
      <c r="AU322" s="89"/>
      <c r="AV322" s="89"/>
      <c r="AW322" s="89"/>
      <c r="AX322" s="89"/>
      <c r="AY322" s="89"/>
      <c r="AZ322" s="89"/>
      <c r="BA322" s="89"/>
      <c r="BB322" s="89"/>
    </row>
    <row r="323" spans="1:54" ht="21" x14ac:dyDescent="0.35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  <c r="AD323" s="89"/>
      <c r="AE323" s="89"/>
      <c r="AF323" s="89"/>
      <c r="AG323" s="89"/>
      <c r="AH323" s="89"/>
      <c r="AI323" s="89"/>
      <c r="AJ323" s="89"/>
      <c r="AK323" s="89"/>
      <c r="AL323" s="89"/>
      <c r="AM323" s="89"/>
      <c r="AN323" s="89"/>
      <c r="AO323" s="89"/>
      <c r="AP323" s="89"/>
      <c r="AQ323" s="89"/>
      <c r="AR323" s="89"/>
      <c r="AS323" s="89"/>
      <c r="AT323" s="89"/>
      <c r="AU323" s="89"/>
      <c r="AV323" s="89"/>
      <c r="AW323" s="89"/>
      <c r="AX323" s="89"/>
      <c r="AY323" s="89"/>
      <c r="AZ323" s="89"/>
      <c r="BA323" s="89"/>
      <c r="BB323" s="89"/>
    </row>
    <row r="324" spans="1:54" ht="21" x14ac:dyDescent="0.35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  <c r="AD324" s="89"/>
      <c r="AE324" s="89"/>
      <c r="AF324" s="89"/>
      <c r="AG324" s="89"/>
      <c r="AH324" s="89"/>
      <c r="AI324" s="89"/>
      <c r="AJ324" s="89"/>
      <c r="AK324" s="89"/>
      <c r="AL324" s="89"/>
      <c r="AM324" s="89"/>
      <c r="AN324" s="89"/>
      <c r="AO324" s="89"/>
      <c r="AP324" s="89"/>
      <c r="AQ324" s="89"/>
      <c r="AR324" s="89"/>
      <c r="AS324" s="89"/>
      <c r="AT324" s="89"/>
      <c r="AU324" s="89"/>
      <c r="AV324" s="89"/>
      <c r="AW324" s="89"/>
      <c r="AX324" s="89"/>
      <c r="AY324" s="89"/>
      <c r="AZ324" s="89"/>
      <c r="BA324" s="89"/>
      <c r="BB324" s="89"/>
    </row>
    <row r="325" spans="1:54" ht="21" x14ac:dyDescent="0.35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  <c r="AD325" s="89"/>
      <c r="AE325" s="89"/>
      <c r="AF325" s="89"/>
      <c r="AG325" s="89"/>
      <c r="AH325" s="89"/>
      <c r="AI325" s="89"/>
      <c r="AJ325" s="89"/>
      <c r="AK325" s="89"/>
      <c r="AL325" s="89"/>
      <c r="AM325" s="89"/>
      <c r="AN325" s="89"/>
      <c r="AO325" s="89"/>
      <c r="AP325" s="89"/>
      <c r="AQ325" s="89"/>
      <c r="AR325" s="89"/>
      <c r="AS325" s="89"/>
      <c r="AT325" s="89"/>
      <c r="AU325" s="89"/>
      <c r="AV325" s="89"/>
      <c r="AW325" s="89"/>
      <c r="AX325" s="89"/>
      <c r="AY325" s="89"/>
      <c r="AZ325" s="89"/>
      <c r="BA325" s="89"/>
      <c r="BB325" s="89"/>
    </row>
    <row r="326" spans="1:54" ht="21" x14ac:dyDescent="0.35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  <c r="AD326" s="89"/>
      <c r="AE326" s="89"/>
      <c r="AF326" s="89"/>
      <c r="AG326" s="89"/>
      <c r="AH326" s="89"/>
      <c r="AI326" s="89"/>
      <c r="AJ326" s="89"/>
      <c r="AK326" s="89"/>
      <c r="AL326" s="89"/>
      <c r="AM326" s="89"/>
      <c r="AN326" s="89"/>
      <c r="AO326" s="89"/>
      <c r="AP326" s="89"/>
      <c r="AQ326" s="89"/>
      <c r="AR326" s="89"/>
      <c r="AS326" s="89"/>
      <c r="AT326" s="89"/>
      <c r="AU326" s="89"/>
      <c r="AV326" s="89"/>
      <c r="AW326" s="89"/>
      <c r="AX326" s="89"/>
      <c r="AY326" s="89"/>
      <c r="AZ326" s="89"/>
      <c r="BA326" s="89"/>
      <c r="BB326" s="89"/>
    </row>
    <row r="327" spans="1:54" ht="21" x14ac:dyDescent="0.35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  <c r="AD327" s="89"/>
      <c r="AE327" s="89"/>
      <c r="AF327" s="89"/>
      <c r="AG327" s="89"/>
      <c r="AH327" s="89"/>
      <c r="AI327" s="89"/>
      <c r="AJ327" s="89"/>
      <c r="AK327" s="89"/>
      <c r="AL327" s="89"/>
      <c r="AM327" s="89"/>
      <c r="AN327" s="89"/>
      <c r="AO327" s="89"/>
      <c r="AP327" s="89"/>
      <c r="AQ327" s="89"/>
      <c r="AR327" s="89"/>
      <c r="AS327" s="89"/>
      <c r="AT327" s="89"/>
      <c r="AU327" s="89"/>
      <c r="AV327" s="89"/>
      <c r="AW327" s="89"/>
      <c r="AX327" s="89"/>
      <c r="AY327" s="89"/>
      <c r="AZ327" s="89"/>
      <c r="BA327" s="89"/>
      <c r="BB327" s="89"/>
    </row>
    <row r="328" spans="1:54" ht="21" x14ac:dyDescent="0.35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  <c r="AD328" s="89"/>
      <c r="AE328" s="89"/>
      <c r="AF328" s="89"/>
      <c r="AG328" s="89"/>
      <c r="AH328" s="89"/>
      <c r="AI328" s="89"/>
      <c r="AJ328" s="89"/>
      <c r="AK328" s="89"/>
      <c r="AL328" s="89"/>
      <c r="AM328" s="89"/>
      <c r="AN328" s="89"/>
      <c r="AO328" s="89"/>
      <c r="AP328" s="89"/>
      <c r="AQ328" s="89"/>
      <c r="AR328" s="89"/>
      <c r="AS328" s="89"/>
      <c r="AT328" s="89"/>
      <c r="AU328" s="89"/>
      <c r="AV328" s="89"/>
      <c r="AW328" s="89"/>
      <c r="AX328" s="89"/>
      <c r="AY328" s="89"/>
      <c r="AZ328" s="89"/>
      <c r="BA328" s="89"/>
      <c r="BB328" s="89"/>
    </row>
  </sheetData>
  <pageMargins left="0.7" right="0.7" top="0.78740157499999996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0F80-31E0-45DC-B6E6-F8F5134E0D42}">
  <dimension ref="A1:AZ26"/>
  <sheetViews>
    <sheetView zoomScale="112" zoomScaleNormal="112" workbookViewId="0">
      <selection activeCell="C5" sqref="C5:R7"/>
    </sheetView>
  </sheetViews>
  <sheetFormatPr baseColWidth="10" defaultColWidth="8.7109375" defaultRowHeight="15" x14ac:dyDescent="0.25"/>
  <cols>
    <col min="1" max="1" width="30.42578125" customWidth="1"/>
    <col min="2" max="2" width="18.42578125" customWidth="1"/>
    <col min="3" max="3" width="20" customWidth="1"/>
    <col min="4" max="4" width="14.5703125" customWidth="1"/>
    <col min="5" max="5" width="9.85546875" customWidth="1"/>
    <col min="6" max="6" width="13.28515625" customWidth="1"/>
    <col min="7" max="7" width="10.7109375" customWidth="1"/>
    <col min="8" max="8" width="8" customWidth="1"/>
    <col min="9" max="9" width="9.42578125" customWidth="1"/>
    <col min="10" max="11" width="12.7109375" customWidth="1"/>
    <col min="12" max="12" width="7.7109375" customWidth="1"/>
    <col min="13" max="13" width="8.28515625" customWidth="1"/>
    <col min="14" max="14" width="8.42578125" customWidth="1"/>
    <col min="15" max="15" width="13.140625" customWidth="1"/>
    <col min="16" max="16" width="12.7109375" bestFit="1" customWidth="1"/>
    <col min="17" max="17" width="8.85546875" bestFit="1" customWidth="1"/>
    <col min="18" max="19" width="11.5703125" bestFit="1" customWidth="1"/>
    <col min="20" max="26" width="12.7109375" bestFit="1" customWidth="1"/>
  </cols>
  <sheetData>
    <row r="1" spans="1:52" ht="21" x14ac:dyDescent="0.35">
      <c r="A1" s="89" t="s">
        <v>34</v>
      </c>
      <c r="B1" s="89"/>
      <c r="C1" s="89" t="e">
        <f>C5-C2</f>
        <v>#DIV/0!</v>
      </c>
      <c r="D1" s="89" t="e">
        <f>D4-D2</f>
        <v>#DIV/0!</v>
      </c>
      <c r="E1" s="89">
        <f>E2-E5</f>
        <v>0</v>
      </c>
      <c r="F1" s="89" t="e">
        <f>F4-F2</f>
        <v>#DIV/0!</v>
      </c>
      <c r="G1" s="89" t="e">
        <f t="shared" ref="G1:O1" si="0">G4-G2</f>
        <v>#DIV/0!</v>
      </c>
      <c r="H1" s="89" t="e">
        <f t="shared" si="0"/>
        <v>#DIV/0!</v>
      </c>
      <c r="I1" s="89" t="e">
        <f>I4-I2</f>
        <v>#DIV/0!</v>
      </c>
      <c r="J1" s="89">
        <f>J5-J2</f>
        <v>0</v>
      </c>
      <c r="K1" s="89">
        <f>K5-K2</f>
        <v>0</v>
      </c>
      <c r="L1" s="89" t="e">
        <f t="shared" si="0"/>
        <v>#DIV/0!</v>
      </c>
      <c r="M1" s="89" t="e">
        <f t="shared" si="0"/>
        <v>#DIV/0!</v>
      </c>
      <c r="N1" s="89" t="e">
        <f t="shared" si="0"/>
        <v>#DIV/0!</v>
      </c>
      <c r="O1" s="89" t="e">
        <f t="shared" si="0"/>
        <v>#DIV/0!</v>
      </c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</row>
    <row r="2" spans="1:52" ht="21" x14ac:dyDescent="0.35">
      <c r="A2" s="89" t="s">
        <v>37</v>
      </c>
      <c r="B2" s="138">
        <f>100-C2-D2-E2-F2-G2-H2-I2-J2-K2-L2-M2-N2-O2</f>
        <v>100</v>
      </c>
      <c r="C2" s="89">
        <f>'1.0330_3'!C12</f>
        <v>0</v>
      </c>
      <c r="D2" s="89">
        <f>'1.0330_3'!D12</f>
        <v>0</v>
      </c>
      <c r="E2" s="89">
        <f>'1.0330_3'!E12</f>
        <v>0</v>
      </c>
      <c r="F2" s="89">
        <f>'1.0330_3'!F12</f>
        <v>0</v>
      </c>
      <c r="G2" s="89">
        <f>'1.0330_3'!G12</f>
        <v>0</v>
      </c>
      <c r="H2" s="89">
        <f>'1.0330_3'!H12</f>
        <v>0</v>
      </c>
      <c r="I2" s="89">
        <f>'1.0330_3'!I12</f>
        <v>0</v>
      </c>
      <c r="J2" s="89">
        <f>'1.0330_3'!J12</f>
        <v>0</v>
      </c>
      <c r="K2" s="89">
        <f>'1.0330_3'!K12</f>
        <v>0</v>
      </c>
      <c r="L2" s="89">
        <f>'1.0330_3'!L12</f>
        <v>0</v>
      </c>
      <c r="M2" s="89">
        <f>'1.0330_3'!M12</f>
        <v>0</v>
      </c>
      <c r="N2" s="89">
        <f>'1.0330_3'!N12</f>
        <v>0</v>
      </c>
      <c r="O2" s="89">
        <f>'1.0330_3'!O12</f>
        <v>0</v>
      </c>
      <c r="P2" s="89">
        <f>'1.0330_3'!P12</f>
        <v>0</v>
      </c>
      <c r="Q2" s="89">
        <f>'1.0330_3'!Q12</f>
        <v>0</v>
      </c>
      <c r="R2" s="89">
        <f>'1.0330_3'!R12</f>
        <v>0</v>
      </c>
      <c r="S2" s="89">
        <f>'1.0330_3'!S12</f>
        <v>0</v>
      </c>
      <c r="T2" s="89">
        <f>'1.0330_3'!T12</f>
        <v>0</v>
      </c>
      <c r="U2" s="89">
        <f>'1.0330_3'!U12</f>
        <v>0</v>
      </c>
      <c r="V2" s="89">
        <f>'1.0330_3'!V12</f>
        <v>0</v>
      </c>
      <c r="W2" s="89">
        <f>'1.0330_3'!W12</f>
        <v>0</v>
      </c>
      <c r="X2" s="89">
        <f>'1.0330_3'!X12</f>
        <v>0</v>
      </c>
      <c r="Y2" s="89">
        <f>'1.0330_3'!Y12</f>
        <v>0</v>
      </c>
      <c r="Z2" s="89">
        <f>'1.0330_3'!Z12</f>
        <v>0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</row>
    <row r="3" spans="1:52" ht="21" x14ac:dyDescent="0.35">
      <c r="A3" s="89"/>
      <c r="B3" s="210" t="s">
        <v>14</v>
      </c>
      <c r="C3" s="210" t="s">
        <v>15</v>
      </c>
      <c r="D3" s="210" t="s">
        <v>8</v>
      </c>
      <c r="E3" s="210" t="s">
        <v>9</v>
      </c>
      <c r="F3" s="210" t="s">
        <v>234</v>
      </c>
      <c r="G3" s="210" t="s">
        <v>56</v>
      </c>
      <c r="H3" s="210" t="s">
        <v>57</v>
      </c>
      <c r="I3" s="210" t="s">
        <v>58</v>
      </c>
      <c r="J3" s="210" t="s">
        <v>77</v>
      </c>
      <c r="K3" s="210" t="s">
        <v>204</v>
      </c>
      <c r="L3" s="210" t="s">
        <v>16</v>
      </c>
      <c r="M3" s="210" t="s">
        <v>12</v>
      </c>
      <c r="N3" s="210" t="s">
        <v>44</v>
      </c>
      <c r="O3" s="210" t="s">
        <v>55</v>
      </c>
      <c r="P3" s="210" t="s">
        <v>17</v>
      </c>
      <c r="Q3" s="210" t="s">
        <v>80</v>
      </c>
      <c r="R3" s="210" t="s">
        <v>81</v>
      </c>
      <c r="S3" s="210" t="s">
        <v>82</v>
      </c>
      <c r="T3" s="210" t="s">
        <v>83</v>
      </c>
      <c r="U3" s="210" t="s">
        <v>45</v>
      </c>
      <c r="V3" s="210" t="s">
        <v>43</v>
      </c>
      <c r="W3" s="210" t="s">
        <v>13</v>
      </c>
      <c r="X3" s="210" t="s">
        <v>0</v>
      </c>
      <c r="Y3" s="210" t="s">
        <v>11</v>
      </c>
      <c r="Z3" s="210" t="s">
        <v>10</v>
      </c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</row>
    <row r="4" spans="1:52" ht="21" x14ac:dyDescent="0.35">
      <c r="A4" s="89" t="s">
        <v>35</v>
      </c>
      <c r="B4" s="89" t="e">
        <f>100-C4-D4-E4-F4-G4-H4-I4-J4-K4-L4-M4-N4-O4-P4-Q4-R4-S4-T4-U4-V4-W4-X4-Y4-Z4</f>
        <v>#DIV/0!</v>
      </c>
      <c r="C4" s="89" t="e">
        <f>'opt 9'!C56</f>
        <v>#DIV/0!</v>
      </c>
      <c r="D4" s="89" t="e">
        <f>'opt 9'!D56</f>
        <v>#DIV/0!</v>
      </c>
      <c r="E4" s="89" t="e">
        <f>'opt 9'!E56</f>
        <v>#DIV/0!</v>
      </c>
      <c r="F4" s="89" t="e">
        <f>'opt 9'!F56</f>
        <v>#DIV/0!</v>
      </c>
      <c r="G4" s="89" t="e">
        <f>'opt 9'!G56</f>
        <v>#DIV/0!</v>
      </c>
      <c r="H4" s="89" t="e">
        <f>'opt 9'!H56</f>
        <v>#DIV/0!</v>
      </c>
      <c r="I4" s="89" t="e">
        <f>'opt 9'!I56</f>
        <v>#DIV/0!</v>
      </c>
      <c r="J4" s="89" t="e">
        <f>'opt 9'!J56</f>
        <v>#DIV/0!</v>
      </c>
      <c r="K4" s="89" t="e">
        <f>'opt 9'!K56</f>
        <v>#DIV/0!</v>
      </c>
      <c r="L4" s="89" t="e">
        <f>'opt 9'!L56</f>
        <v>#DIV/0!</v>
      </c>
      <c r="M4" s="89" t="e">
        <f>'opt 9'!M56</f>
        <v>#DIV/0!</v>
      </c>
      <c r="N4" s="89" t="e">
        <f>'opt 9'!N56</f>
        <v>#DIV/0!</v>
      </c>
      <c r="O4" s="89" t="e">
        <f>'opt 9'!O56</f>
        <v>#DIV/0!</v>
      </c>
      <c r="P4" s="89" t="e">
        <f>'opt 9'!P56</f>
        <v>#DIV/0!</v>
      </c>
      <c r="Q4" s="89">
        <f>'opt 1'!P3</f>
        <v>5.6100920468972061E-2</v>
      </c>
      <c r="R4" s="89" t="e">
        <f>'opt 9'!R56</f>
        <v>#DIV/0!</v>
      </c>
      <c r="S4" s="89" t="e">
        <f>'opt 9'!S56</f>
        <v>#DIV/0!</v>
      </c>
      <c r="T4" s="89" t="e">
        <f>'opt 9'!T56</f>
        <v>#DIV/0!</v>
      </c>
      <c r="U4" s="89" t="e">
        <f>'opt 9'!U56</f>
        <v>#DIV/0!</v>
      </c>
      <c r="V4" s="89" t="e">
        <f>'opt 9'!V56</f>
        <v>#DIV/0!</v>
      </c>
      <c r="W4" s="89" t="e">
        <f>'opt 9'!W56</f>
        <v>#DIV/0!</v>
      </c>
      <c r="X4" s="89" t="e">
        <f>'opt 9'!X56</f>
        <v>#DIV/0!</v>
      </c>
      <c r="Y4" s="89" t="e">
        <f>'opt 9'!Y56</f>
        <v>#DIV/0!</v>
      </c>
      <c r="Z4" s="89" t="e">
        <f>'opt 9'!Z56</f>
        <v>#DIV/0!</v>
      </c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</row>
    <row r="5" spans="1:52" ht="21" x14ac:dyDescent="0.35">
      <c r="A5" s="89" t="s">
        <v>36</v>
      </c>
      <c r="B5" s="89" t="e">
        <f>100-C5-D5-E5-F5-G5-H5-I5-J5-K5-L5-M5-N5-O5</f>
        <v>#DIV/0!</v>
      </c>
      <c r="C5" s="149" t="e">
        <f>C4</f>
        <v>#DIV/0!</v>
      </c>
      <c r="D5" s="158"/>
      <c r="E5" s="159"/>
      <c r="F5" s="159"/>
      <c r="G5" s="159" t="e">
        <f>G4+D4+E4+F4+H4+I4+J4+K4+M4+V4</f>
        <v>#DIV/0!</v>
      </c>
      <c r="H5" s="159"/>
      <c r="I5" s="159"/>
      <c r="J5" s="149"/>
      <c r="K5" s="149"/>
      <c r="L5" s="7" t="e">
        <f>L4</f>
        <v>#DIV/0!</v>
      </c>
      <c r="M5" s="7"/>
      <c r="N5" s="7" t="e">
        <f>N4+P4+Q4+R4+S4+T4+U4+W4+X4+Y4+Z4</f>
        <v>#DIV/0!</v>
      </c>
      <c r="O5" s="7" t="e">
        <f>O4</f>
        <v>#DIV/0!</v>
      </c>
      <c r="P5" s="7"/>
      <c r="Q5" s="7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</row>
    <row r="6" spans="1:52" ht="21" x14ac:dyDescent="0.35">
      <c r="A6" s="89"/>
      <c r="B6" s="8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</row>
    <row r="7" spans="1:52" ht="21" x14ac:dyDescent="0.35">
      <c r="A7" s="89" t="s">
        <v>92</v>
      </c>
      <c r="B7" s="139" t="e">
        <f>100-C7-D7-E7-F7-G7-H7-I7-J7-K7-L7-M7-N7-O7-P7-Q7-R7-S7-T7-U7-V7-W7-X7-Y7-Z7</f>
        <v>#DIV/0!</v>
      </c>
      <c r="C7" s="156">
        <f>C2</f>
        <v>0</v>
      </c>
      <c r="D7" s="156"/>
      <c r="E7" s="156"/>
      <c r="F7" s="156"/>
      <c r="G7" s="156" t="e">
        <f>G2-D4-E4-F4-H4-I4-J4-K4-M4-V4</f>
        <v>#DIV/0!</v>
      </c>
      <c r="H7" s="156"/>
      <c r="I7" s="156"/>
      <c r="J7" s="156"/>
      <c r="K7" s="156"/>
      <c r="L7" s="156">
        <f>L2</f>
        <v>0</v>
      </c>
      <c r="M7" s="156">
        <f>M2</f>
        <v>0</v>
      </c>
      <c r="N7" s="156" t="e">
        <f>N2-P4-Q4-R4-S4-T4-U4-W4-X4-Y4-Z4</f>
        <v>#DIV/0!</v>
      </c>
      <c r="O7" s="156"/>
      <c r="P7" s="156"/>
      <c r="Q7" s="156"/>
      <c r="R7" s="177"/>
      <c r="S7" s="177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</row>
    <row r="8" spans="1:52" ht="21" x14ac:dyDescent="0.35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</row>
    <row r="9" spans="1:52" ht="21" x14ac:dyDescent="0.35">
      <c r="A9" s="89"/>
      <c r="B9" s="89"/>
      <c r="C9" s="89"/>
      <c r="D9" s="89"/>
      <c r="E9" s="89"/>
      <c r="F9" s="89" t="s">
        <v>7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</row>
    <row r="10" spans="1:52" ht="21" x14ac:dyDescent="0.35">
      <c r="A10" s="89" t="s">
        <v>32</v>
      </c>
      <c r="B10" s="180"/>
      <c r="C10" s="180"/>
      <c r="D10" s="89"/>
      <c r="E10" s="180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</row>
    <row r="11" spans="1:52" ht="21" x14ac:dyDescent="0.35">
      <c r="A11" s="89" t="s">
        <v>33</v>
      </c>
      <c r="B11" s="181"/>
      <c r="C11" s="181"/>
      <c r="D11" s="89"/>
      <c r="E11" s="181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</row>
    <row r="12" spans="1:52" ht="21" x14ac:dyDescent="0.35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</row>
    <row r="13" spans="1:52" ht="21" x14ac:dyDescent="0.35">
      <c r="A13" s="89"/>
      <c r="B13" s="89" t="s">
        <v>14</v>
      </c>
      <c r="C13" s="180" t="s">
        <v>56</v>
      </c>
      <c r="D13" s="180" t="s">
        <v>15</v>
      </c>
      <c r="E13" s="181" t="s">
        <v>8</v>
      </c>
      <c r="F13" s="180" t="s">
        <v>9</v>
      </c>
      <c r="G13" s="180" t="s">
        <v>57</v>
      </c>
      <c r="H13" s="181" t="s">
        <v>58</v>
      </c>
      <c r="I13" s="180" t="s">
        <v>77</v>
      </c>
      <c r="J13" s="181" t="s">
        <v>13</v>
      </c>
      <c r="K13" s="180" t="s">
        <v>16</v>
      </c>
      <c r="L13" s="180" t="s">
        <v>55</v>
      </c>
      <c r="M13" s="181" t="s">
        <v>44</v>
      </c>
      <c r="N13" s="181" t="s">
        <v>10</v>
      </c>
      <c r="O13" s="180" t="s">
        <v>12</v>
      </c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</row>
    <row r="14" spans="1:52" ht="21" x14ac:dyDescent="0.35">
      <c r="A14" s="89" t="s">
        <v>39</v>
      </c>
      <c r="B14" s="89" t="e">
        <f>100-(C14+D14+E14+F14+G14+H14+I14+J14+K14+L14+M14+N14+O14)</f>
        <v>#DIV/0!</v>
      </c>
      <c r="C14" s="89" t="e">
        <f>C5-C1</f>
        <v>#DIV/0!</v>
      </c>
      <c r="D14" s="89" t="e">
        <f>D5-D1</f>
        <v>#DIV/0!</v>
      </c>
      <c r="E14" s="89">
        <f t="shared" ref="E14:I14" si="1">E5</f>
        <v>0</v>
      </c>
      <c r="F14" s="89">
        <f t="shared" si="1"/>
        <v>0</v>
      </c>
      <c r="G14" s="89" t="e">
        <f t="shared" si="1"/>
        <v>#DIV/0!</v>
      </c>
      <c r="H14" s="89">
        <f t="shared" si="1"/>
        <v>0</v>
      </c>
      <c r="I14" s="89">
        <f t="shared" si="1"/>
        <v>0</v>
      </c>
      <c r="J14" s="89">
        <f>J5-J1</f>
        <v>0</v>
      </c>
      <c r="K14" s="89">
        <f>K5-K1</f>
        <v>0</v>
      </c>
      <c r="L14" s="89" t="e">
        <f t="shared" ref="L14:O14" si="2">L5</f>
        <v>#DIV/0!</v>
      </c>
      <c r="M14" s="89">
        <f t="shared" si="2"/>
        <v>0</v>
      </c>
      <c r="N14" s="89" t="e">
        <f t="shared" si="2"/>
        <v>#DIV/0!</v>
      </c>
      <c r="O14" s="89" t="e">
        <f t="shared" si="2"/>
        <v>#DIV/0!</v>
      </c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</row>
    <row r="15" spans="1:52" ht="21" x14ac:dyDescent="0.3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</row>
    <row r="16" spans="1:52" ht="21" x14ac:dyDescent="0.3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</row>
    <row r="17" spans="1:52" ht="21" x14ac:dyDescent="0.35">
      <c r="A17" s="89"/>
      <c r="B17" s="210" t="s">
        <v>14</v>
      </c>
      <c r="C17" s="210" t="s">
        <v>15</v>
      </c>
      <c r="D17" s="210" t="s">
        <v>8</v>
      </c>
      <c r="E17" s="210" t="s">
        <v>9</v>
      </c>
      <c r="F17" s="210" t="s">
        <v>234</v>
      </c>
      <c r="G17" s="210" t="s">
        <v>56</v>
      </c>
      <c r="H17" s="210" t="s">
        <v>57</v>
      </c>
      <c r="I17" s="210" t="s">
        <v>58</v>
      </c>
      <c r="J17" s="210" t="s">
        <v>77</v>
      </c>
      <c r="K17" s="210" t="s">
        <v>204</v>
      </c>
      <c r="L17" s="210" t="s">
        <v>16</v>
      </c>
      <c r="M17" s="210" t="s">
        <v>12</v>
      </c>
      <c r="N17" s="210" t="s">
        <v>44</v>
      </c>
      <c r="O17" s="210" t="s">
        <v>55</v>
      </c>
      <c r="P17" s="210" t="s">
        <v>17</v>
      </c>
      <c r="Q17" s="210" t="s">
        <v>80</v>
      </c>
      <c r="R17" s="210" t="s">
        <v>81</v>
      </c>
      <c r="S17" s="210" t="s">
        <v>82</v>
      </c>
      <c r="T17" s="210" t="s">
        <v>83</v>
      </c>
      <c r="U17" s="210" t="s">
        <v>45</v>
      </c>
      <c r="V17" s="210" t="s">
        <v>43</v>
      </c>
      <c r="W17" s="210" t="s">
        <v>13</v>
      </c>
      <c r="X17" s="210" t="s">
        <v>0</v>
      </c>
      <c r="Y17" s="210" t="s">
        <v>11</v>
      </c>
      <c r="Z17" s="210" t="s">
        <v>10</v>
      </c>
      <c r="AA17" s="211" t="s">
        <v>14</v>
      </c>
      <c r="AB17" s="212" t="s">
        <v>15</v>
      </c>
      <c r="AC17" s="213" t="s">
        <v>8</v>
      </c>
      <c r="AD17" s="214" t="s">
        <v>9</v>
      </c>
      <c r="AE17" s="213" t="s">
        <v>234</v>
      </c>
      <c r="AF17" s="213" t="s">
        <v>56</v>
      </c>
      <c r="AG17" s="214" t="s">
        <v>57</v>
      </c>
      <c r="AH17" s="213" t="s">
        <v>58</v>
      </c>
      <c r="AI17" s="215" t="s">
        <v>77</v>
      </c>
      <c r="AJ17" s="216" t="s">
        <v>204</v>
      </c>
      <c r="AK17" s="216" t="s">
        <v>16</v>
      </c>
      <c r="AL17" s="215" t="s">
        <v>12</v>
      </c>
      <c r="AM17" s="215" t="s">
        <v>44</v>
      </c>
      <c r="AN17" s="216" t="s">
        <v>55</v>
      </c>
      <c r="AO17" s="210" t="s">
        <v>17</v>
      </c>
      <c r="AP17" s="210" t="s">
        <v>80</v>
      </c>
      <c r="AQ17" s="210" t="s">
        <v>81</v>
      </c>
      <c r="AR17" s="210" t="s">
        <v>82</v>
      </c>
      <c r="AS17" s="210" t="s">
        <v>83</v>
      </c>
      <c r="AT17" s="210" t="s">
        <v>45</v>
      </c>
      <c r="AU17" s="210" t="s">
        <v>43</v>
      </c>
      <c r="AV17" s="210" t="s">
        <v>13</v>
      </c>
      <c r="AW17" s="210" t="s">
        <v>0</v>
      </c>
      <c r="AX17" s="210" t="s">
        <v>11</v>
      </c>
      <c r="AY17" s="210" t="s">
        <v>10</v>
      </c>
      <c r="AZ17" s="89"/>
    </row>
    <row r="18" spans="1:52" ht="21" x14ac:dyDescent="0.35">
      <c r="A18" s="89"/>
      <c r="B18" s="217" t="e">
        <f>100-C18-D18-E18-F18-G18-H18-I18-J18-K18-L18-M18-N18-O18-P18-Q18-R18-S18-T18-U18-V18-W18-X18-Y18-Z18</f>
        <v>#DIV/0!</v>
      </c>
      <c r="C18" s="218">
        <f>C7</f>
        <v>0</v>
      </c>
      <c r="D18" s="218" t="e">
        <f t="shared" ref="D18:Z18" si="3">D4</f>
        <v>#DIV/0!</v>
      </c>
      <c r="E18" s="218" t="e">
        <f t="shared" si="3"/>
        <v>#DIV/0!</v>
      </c>
      <c r="F18" s="218" t="e">
        <f t="shared" si="3"/>
        <v>#DIV/0!</v>
      </c>
      <c r="G18" s="218" t="e">
        <f>G7</f>
        <v>#DIV/0!</v>
      </c>
      <c r="H18" s="218" t="e">
        <f t="shared" si="3"/>
        <v>#DIV/0!</v>
      </c>
      <c r="I18" s="218" t="e">
        <f t="shared" si="3"/>
        <v>#DIV/0!</v>
      </c>
      <c r="J18" s="218" t="e">
        <f t="shared" si="3"/>
        <v>#DIV/0!</v>
      </c>
      <c r="K18" s="218" t="e">
        <f t="shared" si="3"/>
        <v>#DIV/0!</v>
      </c>
      <c r="L18" s="218">
        <f>L7</f>
        <v>0</v>
      </c>
      <c r="M18" s="218">
        <f>M7</f>
        <v>0</v>
      </c>
      <c r="N18" s="218" t="e">
        <f>N7</f>
        <v>#DIV/0!</v>
      </c>
      <c r="O18" s="218" t="e">
        <f t="shared" si="3"/>
        <v>#DIV/0!</v>
      </c>
      <c r="P18" s="218" t="e">
        <f t="shared" si="3"/>
        <v>#DIV/0!</v>
      </c>
      <c r="Q18" s="218">
        <f t="shared" si="3"/>
        <v>5.6100920468972061E-2</v>
      </c>
      <c r="R18" s="218" t="e">
        <f t="shared" si="3"/>
        <v>#DIV/0!</v>
      </c>
      <c r="S18" s="218" t="e">
        <f t="shared" si="3"/>
        <v>#DIV/0!</v>
      </c>
      <c r="T18" s="218" t="e">
        <f t="shared" si="3"/>
        <v>#DIV/0!</v>
      </c>
      <c r="U18" s="218" t="e">
        <f t="shared" si="3"/>
        <v>#DIV/0!</v>
      </c>
      <c r="V18" s="218" t="e">
        <f t="shared" si="3"/>
        <v>#DIV/0!</v>
      </c>
      <c r="W18" s="218" t="e">
        <f t="shared" si="3"/>
        <v>#DIV/0!</v>
      </c>
      <c r="X18" s="218" t="e">
        <f t="shared" si="3"/>
        <v>#DIV/0!</v>
      </c>
      <c r="Y18" s="218" t="e">
        <f t="shared" si="3"/>
        <v>#DIV/0!</v>
      </c>
      <c r="Z18" s="218" t="e">
        <f t="shared" si="3"/>
        <v>#DIV/0!</v>
      </c>
      <c r="AA18" s="219">
        <v>55.84</v>
      </c>
      <c r="AB18" s="219">
        <v>28.0855</v>
      </c>
      <c r="AC18" s="219">
        <v>58.693399999999997</v>
      </c>
      <c r="AD18" s="219">
        <v>63.545999999999999</v>
      </c>
      <c r="AE18" s="219">
        <v>65.38</v>
      </c>
      <c r="AF18" s="219">
        <v>12.01</v>
      </c>
      <c r="AG18" s="219">
        <v>30.973762000000001</v>
      </c>
      <c r="AH18" s="219">
        <v>32.064999999999998</v>
      </c>
      <c r="AI18" s="219">
        <v>14.0067</v>
      </c>
      <c r="AJ18" s="219">
        <v>10.81</v>
      </c>
      <c r="AK18" s="219">
        <v>54.938043999999998</v>
      </c>
      <c r="AL18" s="219">
        <v>26.981539999999999</v>
      </c>
      <c r="AM18" s="219">
        <v>51.996099999999998</v>
      </c>
      <c r="AN18" s="219">
        <v>95.95</v>
      </c>
      <c r="AO18" s="220">
        <v>47.866999999999997</v>
      </c>
      <c r="AP18" s="220">
        <v>50.941499999999998</v>
      </c>
      <c r="AQ18" s="220">
        <v>92.906369999999995</v>
      </c>
      <c r="AR18" s="220">
        <v>183.84</v>
      </c>
      <c r="AS18" s="220">
        <v>180.94788</v>
      </c>
      <c r="AT18" s="220">
        <v>91.224000000000004</v>
      </c>
      <c r="AU18" s="220">
        <v>58.933194999999998</v>
      </c>
      <c r="AV18" s="220">
        <v>24.305</v>
      </c>
      <c r="AW18" s="219">
        <v>121.76</v>
      </c>
      <c r="AX18" s="219">
        <v>207.2</v>
      </c>
      <c r="AY18" s="219">
        <v>118.71</v>
      </c>
      <c r="AZ18" s="89"/>
    </row>
    <row r="19" spans="1:52" ht="21" x14ac:dyDescent="0.35">
      <c r="A19" s="89"/>
      <c r="B19" s="217" t="e">
        <f>100*((((B18)*(AA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C19" s="217" t="e">
        <f>100*((((C18)*(AB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D19" s="217" t="e">
        <f>100*((((D18)*(AC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E19" s="217" t="e">
        <f>100*((((E18)*(AD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F19" s="217" t="e">
        <f>100*((((F18)*(AE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G19" s="217" t="e">
        <f>100*((((G18)*(AF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H19" s="217" t="e">
        <f>100*((((H18)*(AG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I19" s="217" t="e">
        <f>100*((((I18)*(AH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J19" s="217" t="e">
        <f>100*((((J18)*(AI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K19" s="217" t="e">
        <f>100*((((K18)*(AJ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L19" s="217" t="e">
        <f>100*((((L18)*(AK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M19" s="217" t="e">
        <f>100*((((M18)*(AL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N19" s="217" t="e">
        <f>100*((((N18)*(AM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O19" s="217" t="e">
        <f>100*((((O18)*(AN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P19" s="217" t="e">
        <f>100*((((P18)*(AO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Q19" s="217" t="e">
        <f>100*((((Q18)*(AP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R19" s="217" t="e">
        <f>100*((((R18)*(AQ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S19" s="217" t="e">
        <f>100*((((S18)*(AR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T19" s="217" t="e">
        <f>100*((((T18)*(AS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U19" s="217" t="e">
        <f>100*((((U18)*(AT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V19" s="217" t="e">
        <f>100*((((V18)*(AU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W19" s="217" t="e">
        <f>100*((((W18)*(AV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X19" s="219" t="e">
        <f>100*((((X18)*(AW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Y19" s="219" t="e">
        <f>100*((((Y18)*(AX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Z19" s="219" t="e">
        <f>100*((((Z18)*(AY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89"/>
    </row>
    <row r="20" spans="1:52" ht="21" x14ac:dyDescent="0.35">
      <c r="A20" s="89"/>
      <c r="B20" s="89"/>
      <c r="C20" s="89"/>
      <c r="D20" s="89"/>
      <c r="E20" s="89" t="e">
        <f>E19/'opt 9'!G6</f>
        <v>#DIV/0!</v>
      </c>
      <c r="F20" s="89" t="e">
        <f>F19/'opt 9'!G6</f>
        <v>#DIV/0!</v>
      </c>
      <c r="G20" s="89" t="e">
        <f>G19/'opt 9'!G6</f>
        <v>#DIV/0!</v>
      </c>
      <c r="H20" s="89" t="e">
        <f>H19/'opt 9'!G6</f>
        <v>#DIV/0!</v>
      </c>
      <c r="I20" s="89" t="e">
        <f>I19/'opt 9'!G6</f>
        <v>#DIV/0!</v>
      </c>
      <c r="J20" s="89"/>
      <c r="K20" s="89"/>
      <c r="L20" s="89" t="e">
        <f>L19/'opt 9'!G6</f>
        <v>#DIV/0!</v>
      </c>
      <c r="M20" s="89" t="e">
        <f>M19/'opt 9'!G6</f>
        <v>#DIV/0!</v>
      </c>
      <c r="N20" s="89" t="e">
        <f>N19/'opt 9'!G6</f>
        <v>#DIV/0!</v>
      </c>
      <c r="O20" s="89" t="e">
        <f>O19/'opt 9'!G6</f>
        <v>#DIV/0!</v>
      </c>
      <c r="P20" s="89" t="e">
        <f>P19/'opt 9'!G6</f>
        <v>#DIV/0!</v>
      </c>
      <c r="Q20" s="89" t="e">
        <f>Q19/'opt 9'!G6</f>
        <v>#DIV/0!</v>
      </c>
      <c r="R20" s="89" t="e">
        <f>R19/'opt 9'!G6</f>
        <v>#DIV/0!</v>
      </c>
      <c r="S20" s="89" t="e">
        <f>S19/'opt 9'!G6</f>
        <v>#DIV/0!</v>
      </c>
      <c r="T20" s="89" t="e">
        <f>T19/'opt 9'!G6</f>
        <v>#DIV/0!</v>
      </c>
      <c r="U20" s="89" t="e">
        <f>U19/'opt 9'!G6</f>
        <v>#DIV/0!</v>
      </c>
      <c r="V20" s="89" t="e">
        <f>V19/'opt 9'!G6</f>
        <v>#DIV/0!</v>
      </c>
      <c r="W20" s="89" t="e">
        <f>W19/'opt 9'!G6</f>
        <v>#DIV/0!</v>
      </c>
      <c r="X20" s="89" t="e">
        <f>X19/'opt 9'!G6</f>
        <v>#DIV/0!</v>
      </c>
      <c r="Y20" s="89" t="e">
        <f>Y19/'opt 9'!G6</f>
        <v>#DIV/0!</v>
      </c>
      <c r="Z20" s="89" t="e">
        <f>Z19/'opt 9'!G6</f>
        <v>#DIV/0!</v>
      </c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</row>
    <row r="21" spans="1:52" ht="21" x14ac:dyDescent="0.3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</row>
    <row r="22" spans="1:52" ht="21" x14ac:dyDescent="0.3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</row>
    <row r="23" spans="1:52" ht="21" x14ac:dyDescent="0.3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</row>
    <row r="24" spans="1:52" ht="21" x14ac:dyDescent="0.3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</row>
    <row r="25" spans="1:52" ht="21" x14ac:dyDescent="0.3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</row>
    <row r="26" spans="1:52" ht="21" x14ac:dyDescent="0.35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</row>
  </sheetData>
  <pageMargins left="0.7" right="0.7" top="0.75" bottom="0.75" header="0.3" footer="0.3"/>
  <pageSetup paperSize="9" orientation="portrait" verticalDpi="597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905FC-6F40-4E02-9EED-862585E48F5E}">
  <dimension ref="A1:BB27"/>
  <sheetViews>
    <sheetView zoomScale="80" zoomScaleNormal="80" workbookViewId="0">
      <selection activeCell="D27" sqref="D27"/>
    </sheetView>
  </sheetViews>
  <sheetFormatPr baseColWidth="10" defaultColWidth="8.7109375" defaultRowHeight="15" x14ac:dyDescent="0.25"/>
  <cols>
    <col min="1" max="1" width="24.42578125" customWidth="1"/>
    <col min="2" max="2" width="14.7109375" customWidth="1"/>
    <col min="3" max="3" width="13.5703125" customWidth="1"/>
    <col min="4" max="4" width="8.28515625" customWidth="1"/>
    <col min="5" max="5" width="9" customWidth="1"/>
    <col min="6" max="6" width="8.5703125" customWidth="1"/>
    <col min="7" max="7" width="8.42578125" customWidth="1"/>
    <col min="8" max="8" width="8" customWidth="1"/>
    <col min="9" max="9" width="9.42578125" customWidth="1"/>
    <col min="10" max="11" width="12.7109375" customWidth="1"/>
    <col min="12" max="12" width="9.7109375" customWidth="1"/>
    <col min="13" max="14" width="10" customWidth="1"/>
    <col min="15" max="15" width="5.42578125" customWidth="1"/>
    <col min="16" max="17" width="8.85546875" bestFit="1" customWidth="1"/>
  </cols>
  <sheetData>
    <row r="1" spans="1:54" ht="21" x14ac:dyDescent="0.35">
      <c r="A1" s="89" t="s">
        <v>34</v>
      </c>
      <c r="B1" s="89"/>
      <c r="C1" s="89">
        <f>C5-C2</f>
        <v>3.0806052622011419</v>
      </c>
      <c r="D1" s="89">
        <f>D4-D2</f>
        <v>1.3390140731654472</v>
      </c>
      <c r="E1" s="89">
        <f>E2-E5</f>
        <v>0</v>
      </c>
      <c r="F1" s="89">
        <f>F4-F2</f>
        <v>0</v>
      </c>
      <c r="G1" s="89">
        <f t="shared" ref="G1:O1" si="0">G4-G2</f>
        <v>0.91521970155323784</v>
      </c>
      <c r="H1" s="89">
        <f t="shared" si="0"/>
        <v>8.8718546811123438E-3</v>
      </c>
      <c r="I1" s="89">
        <f>I4-I2</f>
        <v>1.7139854382745025E-3</v>
      </c>
      <c r="J1" s="89">
        <f>J5-J2</f>
        <v>0</v>
      </c>
      <c r="K1" s="89">
        <f>K5-K2</f>
        <v>0</v>
      </c>
      <c r="L1" s="89">
        <f t="shared" si="0"/>
        <v>1.6006086588236572</v>
      </c>
      <c r="M1" s="89">
        <f t="shared" si="0"/>
        <v>2.2612196288118464E-3</v>
      </c>
      <c r="N1" s="89">
        <f t="shared" si="0"/>
        <v>1.3740766327042508</v>
      </c>
      <c r="O1" s="89">
        <f t="shared" si="0"/>
        <v>0.10882959025400381</v>
      </c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</row>
    <row r="2" spans="1:54" ht="21" x14ac:dyDescent="0.35">
      <c r="A2" s="89" t="s">
        <v>37</v>
      </c>
      <c r="B2" s="138">
        <f>100-C2-D2-E2-F2-G2-H2-I2-J2-K2-L2-M2-N2-O2</f>
        <v>100</v>
      </c>
      <c r="C2" s="89">
        <f>'1.0330_3'!C12</f>
        <v>0</v>
      </c>
      <c r="D2" s="89">
        <f>'1.0330_3'!D12</f>
        <v>0</v>
      </c>
      <c r="E2" s="89">
        <f>'1.0330_3'!E12</f>
        <v>0</v>
      </c>
      <c r="F2" s="89">
        <f>'1.0330_3'!F12</f>
        <v>0</v>
      </c>
      <c r="G2" s="89">
        <f>'1.0330_3'!G12</f>
        <v>0</v>
      </c>
      <c r="H2" s="89">
        <f>'1.0330_3'!H12</f>
        <v>0</v>
      </c>
      <c r="I2" s="89">
        <f>'1.0330_3'!I12</f>
        <v>0</v>
      </c>
      <c r="J2" s="89">
        <f>'1.0330_3'!J12</f>
        <v>0</v>
      </c>
      <c r="K2" s="89">
        <f>'1.0330_3'!K12</f>
        <v>0</v>
      </c>
      <c r="L2" s="89">
        <f>'1.0330_3'!L12</f>
        <v>0</v>
      </c>
      <c r="M2" s="89">
        <f>'1.0330_3'!M12</f>
        <v>0</v>
      </c>
      <c r="N2" s="89">
        <f>'1.0330_3'!N12</f>
        <v>0</v>
      </c>
      <c r="O2" s="89">
        <f>'1.0330_3'!O12</f>
        <v>0</v>
      </c>
      <c r="P2" s="89">
        <f>'1.0330_3'!P12</f>
        <v>0</v>
      </c>
      <c r="Q2" s="89">
        <f>'1.0330_3'!Q12</f>
        <v>0</v>
      </c>
      <c r="R2" s="89">
        <f>'1.0330_3'!R12</f>
        <v>0</v>
      </c>
      <c r="S2" s="89">
        <f>'1.0330_3'!S12</f>
        <v>0</v>
      </c>
      <c r="T2" s="89">
        <f>'1.0330_3'!T12</f>
        <v>0</v>
      </c>
      <c r="U2" s="89">
        <f>'1.0330_3'!U12</f>
        <v>0</v>
      </c>
      <c r="V2" s="89">
        <f>'1.0330_3'!V12</f>
        <v>0</v>
      </c>
      <c r="W2" s="89">
        <f>'1.0330_3'!W12</f>
        <v>0</v>
      </c>
      <c r="X2" s="89">
        <f>'1.0330_3'!X12</f>
        <v>0</v>
      </c>
      <c r="Y2" s="89">
        <f>'1.0330_3'!Y12</f>
        <v>0</v>
      </c>
      <c r="Z2" s="89">
        <f>'1.0330_3'!Z12</f>
        <v>0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</row>
    <row r="3" spans="1:54" ht="21" x14ac:dyDescent="0.35">
      <c r="A3" s="89"/>
      <c r="B3" s="210" t="s">
        <v>14</v>
      </c>
      <c r="C3" s="210" t="s">
        <v>15</v>
      </c>
      <c r="D3" s="210" t="s">
        <v>8</v>
      </c>
      <c r="E3" s="210" t="s">
        <v>9</v>
      </c>
      <c r="F3" s="210" t="s">
        <v>234</v>
      </c>
      <c r="G3" s="210" t="s">
        <v>56</v>
      </c>
      <c r="H3" s="210" t="s">
        <v>57</v>
      </c>
      <c r="I3" s="210" t="s">
        <v>58</v>
      </c>
      <c r="J3" s="210" t="s">
        <v>77</v>
      </c>
      <c r="K3" s="210" t="s">
        <v>204</v>
      </c>
      <c r="L3" s="210" t="s">
        <v>16</v>
      </c>
      <c r="M3" s="210" t="s">
        <v>12</v>
      </c>
      <c r="N3" s="210" t="s">
        <v>44</v>
      </c>
      <c r="O3" s="210" t="s">
        <v>55</v>
      </c>
      <c r="P3" s="210" t="s">
        <v>17</v>
      </c>
      <c r="Q3" s="210" t="s">
        <v>80</v>
      </c>
      <c r="R3" s="210" t="s">
        <v>81</v>
      </c>
      <c r="S3" s="210" t="s">
        <v>82</v>
      </c>
      <c r="T3" s="210" t="s">
        <v>83</v>
      </c>
      <c r="U3" s="210" t="s">
        <v>45</v>
      </c>
      <c r="V3" s="210" t="s">
        <v>43</v>
      </c>
      <c r="W3" s="210" t="s">
        <v>13</v>
      </c>
      <c r="X3" s="210" t="s">
        <v>0</v>
      </c>
      <c r="Y3" s="210" t="s">
        <v>11</v>
      </c>
      <c r="Z3" s="210" t="s">
        <v>10</v>
      </c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</row>
    <row r="4" spans="1:54" ht="21" x14ac:dyDescent="0.35">
      <c r="A4" s="89" t="s">
        <v>35</v>
      </c>
      <c r="B4" s="89">
        <f>100-C4-D4-E4-F4-G4-H4-I4-J4-K4-L4-M4-N4-O4-P4-Q4-R4-S4-T4-U4-V4-W4-X4-Y4-Z4</f>
        <v>92.840162287943642</v>
      </c>
      <c r="C4" s="89">
        <f>'opt 1'!B3</f>
        <v>1.741591189035695</v>
      </c>
      <c r="D4" s="89">
        <f>'opt 1'!C3</f>
        <v>1.3390140731654472</v>
      </c>
      <c r="E4" s="89">
        <f>'opt 1'!D3</f>
        <v>0</v>
      </c>
      <c r="F4" s="89">
        <f>'opt 1'!E3</f>
        <v>0</v>
      </c>
      <c r="G4" s="89">
        <f>'opt 1'!F3</f>
        <v>0.91521970155323784</v>
      </c>
      <c r="H4" s="89">
        <f>'opt 1'!G3</f>
        <v>8.8718546811123438E-3</v>
      </c>
      <c r="I4" s="89">
        <f>'opt 1'!H3</f>
        <v>1.7139854382745025E-3</v>
      </c>
      <c r="J4" s="89">
        <f>'opt 1'!I3</f>
        <v>3.9237609914021089E-3</v>
      </c>
      <c r="K4" s="89">
        <f>'opt 1'!J3</f>
        <v>7.6261253115085933E-3</v>
      </c>
      <c r="L4" s="89">
        <f>'opt 1'!K3</f>
        <v>1.6006086588236572</v>
      </c>
      <c r="M4" s="89">
        <f>'opt 1'!L3</f>
        <v>2.2612196288118464E-3</v>
      </c>
      <c r="N4" s="89">
        <f>'opt 1'!M3</f>
        <v>1.3740766327042508</v>
      </c>
      <c r="O4" s="89">
        <f>'opt 1'!N3</f>
        <v>0.10882959025400381</v>
      </c>
      <c r="P4" s="89">
        <f>'opt 1'!O3</f>
        <v>0</v>
      </c>
      <c r="Q4" s="89">
        <f>'opt 1'!P3</f>
        <v>5.6100920468972061E-2</v>
      </c>
      <c r="R4" s="89">
        <f>'opt 1'!Q3</f>
        <v>0</v>
      </c>
      <c r="S4" s="89">
        <f>'opt 1'!R3</f>
        <v>0</v>
      </c>
      <c r="T4" s="89">
        <f>'opt 1'!S3</f>
        <v>0</v>
      </c>
      <c r="U4" s="89">
        <f>'opt 1'!T3</f>
        <v>0</v>
      </c>
      <c r="V4" s="89">
        <f>'opt 1'!U3</f>
        <v>0</v>
      </c>
      <c r="W4" s="89">
        <f>'opt 1'!V3</f>
        <v>0</v>
      </c>
      <c r="X4" s="89">
        <f>'opt 1'!W3</f>
        <v>0</v>
      </c>
      <c r="Y4" s="89">
        <f>'opt 1'!X3</f>
        <v>0</v>
      </c>
      <c r="Z4" s="89">
        <f>'opt 1'!Y3</f>
        <v>0</v>
      </c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</row>
    <row r="5" spans="1:54" ht="21" x14ac:dyDescent="0.35">
      <c r="A5" s="89" t="s">
        <v>36</v>
      </c>
      <c r="B5" s="89">
        <f>100-C5-D5-E5-F5-G5-H5-I5-J5-K5-L5-M5-N5-O5</f>
        <v>95.129458622201113</v>
      </c>
      <c r="C5" s="149">
        <f>C4+D4+E4+F4</f>
        <v>3.0806052622011419</v>
      </c>
      <c r="D5" s="158"/>
      <c r="E5" s="159"/>
      <c r="F5" s="159"/>
      <c r="G5" s="159">
        <f>G2+H4+I4+J4+K4</f>
        <v>2.2135726422297549E-2</v>
      </c>
      <c r="H5" s="159"/>
      <c r="I5" s="159"/>
      <c r="J5" s="149"/>
      <c r="K5" s="149"/>
      <c r="L5" s="7">
        <f>L4</f>
        <v>1.6006086588236572</v>
      </c>
      <c r="M5" s="7">
        <f>M4+P4+Q4+R4+S4+T4+U4+V4+W4+X4+Y4+Z4</f>
        <v>5.8362140097783906E-2</v>
      </c>
      <c r="N5" s="7">
        <f>N2+O4</f>
        <v>0.10882959025400381</v>
      </c>
      <c r="O5" s="7"/>
      <c r="P5" s="7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</row>
    <row r="6" spans="1:54" ht="21" x14ac:dyDescent="0.35">
      <c r="A6" s="89"/>
      <c r="B6" s="8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</row>
    <row r="7" spans="1:54" ht="21" x14ac:dyDescent="0.35">
      <c r="A7" s="89" t="s">
        <v>92</v>
      </c>
      <c r="B7" s="139">
        <f>100-C7-D7-E7-F7-G7-H7-I7-J7-K7-L7-M7-N7-O7-P7-Q7-R7-S7-T7-U7-V7-W7-X7-Y7-Z7</f>
        <v>101.52608031031072</v>
      </c>
      <c r="C7" s="156">
        <f>C2-D4-E4-F4</f>
        <v>-1.3390140731654472</v>
      </c>
      <c r="D7" s="156">
        <f>D2</f>
        <v>0</v>
      </c>
      <c r="E7" s="156"/>
      <c r="F7" s="156"/>
      <c r="G7" s="156">
        <f>G2-H4-I4-J4-K4</f>
        <v>-2.2135726422297549E-2</v>
      </c>
      <c r="H7" s="156"/>
      <c r="I7" s="156"/>
      <c r="J7" s="156"/>
      <c r="K7" s="156"/>
      <c r="L7" s="156">
        <f>L2</f>
        <v>0</v>
      </c>
      <c r="M7" s="156">
        <f>M2-P4-Q4-R4-S4-T4-U4-V4-W4-X4-Y4-Z4</f>
        <v>-5.6100920468972061E-2</v>
      </c>
      <c r="N7" s="156">
        <f>N2-O4</f>
        <v>-0.10882959025400381</v>
      </c>
      <c r="O7" s="156"/>
      <c r="P7" s="156"/>
      <c r="Q7" s="177"/>
      <c r="R7" s="177"/>
      <c r="S7" s="177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</row>
    <row r="8" spans="1:54" ht="21" x14ac:dyDescent="0.35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</row>
    <row r="9" spans="1:54" ht="21" x14ac:dyDescent="0.35">
      <c r="A9" s="89"/>
      <c r="B9" s="89"/>
      <c r="C9" s="89"/>
      <c r="D9" s="89"/>
      <c r="E9" s="89"/>
      <c r="F9" s="89" t="s">
        <v>7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</row>
    <row r="10" spans="1:54" ht="21" x14ac:dyDescent="0.35">
      <c r="A10" s="89" t="s">
        <v>32</v>
      </c>
      <c r="B10" s="180"/>
      <c r="C10" s="180"/>
      <c r="D10" s="89"/>
      <c r="E10" s="180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</row>
    <row r="11" spans="1:54" ht="21" x14ac:dyDescent="0.35">
      <c r="A11" s="89" t="s">
        <v>33</v>
      </c>
      <c r="B11" s="181"/>
      <c r="C11" s="181"/>
      <c r="D11" s="89"/>
      <c r="E11" s="181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</row>
    <row r="12" spans="1:54" ht="21" x14ac:dyDescent="0.35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</row>
    <row r="13" spans="1:54" ht="21" x14ac:dyDescent="0.35">
      <c r="A13" s="89"/>
      <c r="B13" s="89" t="s">
        <v>14</v>
      </c>
      <c r="C13" s="180" t="s">
        <v>56</v>
      </c>
      <c r="D13" s="180" t="s">
        <v>15</v>
      </c>
      <c r="E13" s="181" t="s">
        <v>8</v>
      </c>
      <c r="F13" s="180" t="s">
        <v>9</v>
      </c>
      <c r="G13" s="180" t="s">
        <v>57</v>
      </c>
      <c r="H13" s="181" t="s">
        <v>58</v>
      </c>
      <c r="I13" s="180" t="s">
        <v>77</v>
      </c>
      <c r="J13" s="181" t="s">
        <v>13</v>
      </c>
      <c r="K13" s="180" t="s">
        <v>16</v>
      </c>
      <c r="L13" s="180" t="s">
        <v>55</v>
      </c>
      <c r="M13" s="181" t="s">
        <v>44</v>
      </c>
      <c r="N13" s="181" t="s">
        <v>10</v>
      </c>
      <c r="O13" s="180" t="s">
        <v>12</v>
      </c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</row>
    <row r="14" spans="1:54" ht="21" x14ac:dyDescent="0.35">
      <c r="A14" s="89" t="s">
        <v>39</v>
      </c>
      <c r="B14" s="89">
        <f>100-(C14+D14+E14+F14+G14+H14+I14+J14+K14+L14+M14+N14+O14)</f>
        <v>99.549077957567704</v>
      </c>
      <c r="C14" s="89">
        <f>C5-C1</f>
        <v>0</v>
      </c>
      <c r="D14" s="89">
        <f>D5-D1</f>
        <v>-1.3390140731654472</v>
      </c>
      <c r="E14" s="89">
        <f t="shared" ref="E14:I14" si="1">E5</f>
        <v>0</v>
      </c>
      <c r="F14" s="89">
        <f t="shared" si="1"/>
        <v>0</v>
      </c>
      <c r="G14" s="89">
        <f t="shared" si="1"/>
        <v>2.2135726422297549E-2</v>
      </c>
      <c r="H14" s="89">
        <f t="shared" si="1"/>
        <v>0</v>
      </c>
      <c r="I14" s="89">
        <f t="shared" si="1"/>
        <v>0</v>
      </c>
      <c r="J14" s="89">
        <f>J5-J1</f>
        <v>0</v>
      </c>
      <c r="K14" s="89">
        <f>K5-K1</f>
        <v>0</v>
      </c>
      <c r="L14" s="89">
        <f t="shared" ref="L14:O14" si="2">L5</f>
        <v>1.6006086588236572</v>
      </c>
      <c r="M14" s="89">
        <f t="shared" si="2"/>
        <v>5.8362140097783906E-2</v>
      </c>
      <c r="N14" s="89">
        <f t="shared" si="2"/>
        <v>0.10882959025400381</v>
      </c>
      <c r="O14" s="89">
        <f t="shared" si="2"/>
        <v>0</v>
      </c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</row>
    <row r="15" spans="1:54" ht="21" x14ac:dyDescent="0.3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</row>
    <row r="16" spans="1:54" ht="21" x14ac:dyDescent="0.3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</row>
    <row r="17" spans="1:54" ht="21" x14ac:dyDescent="0.35">
      <c r="A17" s="89"/>
      <c r="B17" s="210" t="s">
        <v>14</v>
      </c>
      <c r="C17" s="210" t="s">
        <v>15</v>
      </c>
      <c r="D17" s="210" t="s">
        <v>8</v>
      </c>
      <c r="E17" s="210" t="s">
        <v>9</v>
      </c>
      <c r="F17" s="210" t="s">
        <v>234</v>
      </c>
      <c r="G17" s="210" t="s">
        <v>56</v>
      </c>
      <c r="H17" s="210" t="s">
        <v>57</v>
      </c>
      <c r="I17" s="210" t="s">
        <v>58</v>
      </c>
      <c r="J17" s="210" t="s">
        <v>77</v>
      </c>
      <c r="K17" s="210" t="s">
        <v>204</v>
      </c>
      <c r="L17" s="210" t="s">
        <v>16</v>
      </c>
      <c r="M17" s="210" t="s">
        <v>12</v>
      </c>
      <c r="N17" s="210" t="s">
        <v>44</v>
      </c>
      <c r="O17" s="210" t="s">
        <v>55</v>
      </c>
      <c r="P17" s="210" t="s">
        <v>17</v>
      </c>
      <c r="Q17" s="210" t="s">
        <v>80</v>
      </c>
      <c r="R17" s="210" t="s">
        <v>81</v>
      </c>
      <c r="S17" s="210" t="s">
        <v>82</v>
      </c>
      <c r="T17" s="210" t="s">
        <v>83</v>
      </c>
      <c r="U17" s="210" t="s">
        <v>45</v>
      </c>
      <c r="V17" s="210" t="s">
        <v>43</v>
      </c>
      <c r="W17" s="210" t="s">
        <v>13</v>
      </c>
      <c r="X17" s="210" t="s">
        <v>0</v>
      </c>
      <c r="Y17" s="210" t="s">
        <v>11</v>
      </c>
      <c r="Z17" s="210" t="s">
        <v>10</v>
      </c>
      <c r="AA17" s="211" t="s">
        <v>14</v>
      </c>
      <c r="AB17" s="212" t="s">
        <v>15</v>
      </c>
      <c r="AC17" s="213" t="s">
        <v>8</v>
      </c>
      <c r="AD17" s="214" t="s">
        <v>9</v>
      </c>
      <c r="AE17" s="213" t="s">
        <v>234</v>
      </c>
      <c r="AF17" s="213" t="s">
        <v>56</v>
      </c>
      <c r="AG17" s="214" t="s">
        <v>57</v>
      </c>
      <c r="AH17" s="213" t="s">
        <v>58</v>
      </c>
      <c r="AI17" s="215" t="s">
        <v>77</v>
      </c>
      <c r="AJ17" s="216" t="s">
        <v>204</v>
      </c>
      <c r="AK17" s="216" t="s">
        <v>16</v>
      </c>
      <c r="AL17" s="215" t="s">
        <v>12</v>
      </c>
      <c r="AM17" s="215" t="s">
        <v>44</v>
      </c>
      <c r="AN17" s="216" t="s">
        <v>55</v>
      </c>
      <c r="AO17" s="210" t="s">
        <v>17</v>
      </c>
      <c r="AP17" s="210" t="s">
        <v>80</v>
      </c>
      <c r="AQ17" s="210" t="s">
        <v>81</v>
      </c>
      <c r="AR17" s="210" t="s">
        <v>82</v>
      </c>
      <c r="AS17" s="210" t="s">
        <v>83</v>
      </c>
      <c r="AT17" s="210" t="s">
        <v>45</v>
      </c>
      <c r="AU17" s="210" t="s">
        <v>43</v>
      </c>
      <c r="AV17" s="210" t="s">
        <v>13</v>
      </c>
      <c r="AW17" s="210" t="s">
        <v>0</v>
      </c>
      <c r="AX17" s="210" t="s">
        <v>11</v>
      </c>
      <c r="AY17" s="210" t="s">
        <v>10</v>
      </c>
      <c r="AZ17" s="89"/>
      <c r="BA17" s="89"/>
      <c r="BB17" s="89"/>
    </row>
    <row r="18" spans="1:54" ht="21" x14ac:dyDescent="0.35">
      <c r="A18" s="89"/>
      <c r="B18" s="217">
        <f>100-C18-D18-E18-F18-G18-H18-I18-J18-K18-L18-M18-N18-O18-P18-Q18-R18-S18-T18-U18-V18-W18-X18-Y18-Z18</f>
        <v>100</v>
      </c>
      <c r="C18" s="218">
        <f>C7</f>
        <v>-1.3390140731654472</v>
      </c>
      <c r="D18" s="218">
        <f t="shared" ref="D18:Z18" si="3">D4</f>
        <v>1.3390140731654472</v>
      </c>
      <c r="E18" s="218">
        <f t="shared" si="3"/>
        <v>0</v>
      </c>
      <c r="F18" s="218">
        <f t="shared" si="3"/>
        <v>0</v>
      </c>
      <c r="G18" s="218">
        <f>G7</f>
        <v>-2.2135726422297549E-2</v>
      </c>
      <c r="H18" s="218">
        <f t="shared" si="3"/>
        <v>8.8718546811123438E-3</v>
      </c>
      <c r="I18" s="218">
        <f t="shared" si="3"/>
        <v>1.7139854382745025E-3</v>
      </c>
      <c r="J18" s="218">
        <f t="shared" si="3"/>
        <v>3.9237609914021089E-3</v>
      </c>
      <c r="K18" s="218">
        <f t="shared" si="3"/>
        <v>7.6261253115085933E-3</v>
      </c>
      <c r="L18" s="218">
        <f>L7</f>
        <v>0</v>
      </c>
      <c r="M18" s="218">
        <f>M7</f>
        <v>-5.6100920468972061E-2</v>
      </c>
      <c r="N18" s="218">
        <f>N7</f>
        <v>-0.10882959025400381</v>
      </c>
      <c r="O18" s="218">
        <f t="shared" si="3"/>
        <v>0.10882959025400381</v>
      </c>
      <c r="P18" s="218">
        <f t="shared" si="3"/>
        <v>0</v>
      </c>
      <c r="Q18" s="218">
        <f t="shared" si="3"/>
        <v>5.6100920468972061E-2</v>
      </c>
      <c r="R18" s="218">
        <f t="shared" si="3"/>
        <v>0</v>
      </c>
      <c r="S18" s="218">
        <f t="shared" si="3"/>
        <v>0</v>
      </c>
      <c r="T18" s="218">
        <f t="shared" si="3"/>
        <v>0</v>
      </c>
      <c r="U18" s="218">
        <f t="shared" si="3"/>
        <v>0</v>
      </c>
      <c r="V18" s="218">
        <f t="shared" si="3"/>
        <v>0</v>
      </c>
      <c r="W18" s="218">
        <f t="shared" si="3"/>
        <v>0</v>
      </c>
      <c r="X18" s="218">
        <f t="shared" si="3"/>
        <v>0</v>
      </c>
      <c r="Y18" s="218">
        <f t="shared" si="3"/>
        <v>0</v>
      </c>
      <c r="Z18" s="218">
        <f t="shared" si="3"/>
        <v>0</v>
      </c>
      <c r="AA18" s="219">
        <v>55.84</v>
      </c>
      <c r="AB18" s="219">
        <v>28.0855</v>
      </c>
      <c r="AC18" s="219">
        <v>58.693399999999997</v>
      </c>
      <c r="AD18" s="219">
        <v>63.545999999999999</v>
      </c>
      <c r="AE18" s="219">
        <v>65.38</v>
      </c>
      <c r="AF18" s="219">
        <v>12.01</v>
      </c>
      <c r="AG18" s="219">
        <v>30.973762000000001</v>
      </c>
      <c r="AH18" s="219">
        <v>32.064999999999998</v>
      </c>
      <c r="AI18" s="219">
        <v>14.0067</v>
      </c>
      <c r="AJ18" s="219">
        <v>10.81</v>
      </c>
      <c r="AK18" s="219">
        <v>54.938043999999998</v>
      </c>
      <c r="AL18" s="219">
        <v>26.981539999999999</v>
      </c>
      <c r="AM18" s="219">
        <v>51.996099999999998</v>
      </c>
      <c r="AN18" s="219">
        <v>95.95</v>
      </c>
      <c r="AO18" s="220">
        <v>47.866999999999997</v>
      </c>
      <c r="AP18" s="220">
        <v>50.941499999999998</v>
      </c>
      <c r="AQ18" s="220">
        <v>92.906369999999995</v>
      </c>
      <c r="AR18" s="220">
        <v>183.84</v>
      </c>
      <c r="AS18" s="220">
        <v>180.94788</v>
      </c>
      <c r="AT18" s="220">
        <v>91.224000000000004</v>
      </c>
      <c r="AU18" s="220">
        <v>58.933194999999998</v>
      </c>
      <c r="AV18" s="220">
        <v>24.305</v>
      </c>
      <c r="AW18" s="219">
        <v>121.76</v>
      </c>
      <c r="AX18" s="219">
        <v>207.2</v>
      </c>
      <c r="AY18" s="219">
        <v>118.71</v>
      </c>
      <c r="AZ18" s="89"/>
      <c r="BA18" s="89"/>
      <c r="BB18" s="89"/>
    </row>
    <row r="19" spans="1:54" ht="21" x14ac:dyDescent="0.35">
      <c r="A19" s="89"/>
      <c r="B19" s="217">
        <f>100*((((B18)*(AA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99.159816415528454</v>
      </c>
      <c r="C19" s="217">
        <f>100*((((C18)*(AB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-0.66781720848103243</v>
      </c>
      <c r="D19" s="217">
        <f>100*((((D18)*(AC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1.3956120611796345</v>
      </c>
      <c r="E19" s="217">
        <f>100*((((E18)*(AD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F19" s="217">
        <f>100*((((F18)*(AE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G19" s="217">
        <f>100*((((G18)*(AF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-4.720924886245567E-3</v>
      </c>
      <c r="H19" s="217">
        <f>100*((((H18)*(AG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4.879762451677044E-3</v>
      </c>
      <c r="I19" s="217">
        <f>100*((((I18)*(AH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9.7595249033540865E-4</v>
      </c>
      <c r="J19" s="217">
        <f>100*((((J18)*(AI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9.7595249033540865E-4</v>
      </c>
      <c r="K19" s="217">
        <f>100*((((K18)*(AJ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1.4639287355031135E-3</v>
      </c>
      <c r="L19" s="217">
        <f>100*((((L18)*(AK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M19" s="217">
        <f>100*((((M18)*(AL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-2.6879861411940972E-2</v>
      </c>
      <c r="N19" s="217">
        <f>100*((((N18)*(AM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-0.10048658075787908</v>
      </c>
      <c r="O19" s="217">
        <f>100*((((O18)*(AN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0.18543097316372764</v>
      </c>
      <c r="P19" s="217">
        <f>100*((((P18)*(AO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Q19" s="217">
        <f>100*((((Q18)*(AP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5.0749529497441256E-2</v>
      </c>
      <c r="R19" s="217">
        <f>100*((((R18)*(AQ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S19" s="217">
        <f>100*((((S18)*(AR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T19" s="217">
        <f>100*((((T18)*(AS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U19" s="217">
        <f>100*((((U18)*(AT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V19" s="217">
        <f>100*((((V18)*(AU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W19" s="217">
        <f>100*((((W18)*(AV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X19" s="219">
        <f>100*((((X18)*(AW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Y19" s="219">
        <f>100*((((Y18)*(AX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Z19" s="219">
        <f>100*((((Z18)*(AY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89"/>
      <c r="BA19" s="89"/>
      <c r="BB19" s="89"/>
    </row>
    <row r="20" spans="1:54" ht="21" x14ac:dyDescent="0.35">
      <c r="A20" s="89"/>
      <c r="B20" s="89"/>
      <c r="C20" s="89"/>
      <c r="D20" s="89"/>
      <c r="E20" s="89" t="e">
        <f>E19/'opt 9'!G6</f>
        <v>#DIV/0!</v>
      </c>
      <c r="F20" s="89" t="e">
        <f>F19/'opt 9'!G6</f>
        <v>#DIV/0!</v>
      </c>
      <c r="G20" s="89" t="e">
        <f>G19/'opt 9'!G6</f>
        <v>#DIV/0!</v>
      </c>
      <c r="H20" s="89" t="e">
        <f>H19/'opt 9'!G6</f>
        <v>#DIV/0!</v>
      </c>
      <c r="I20" s="89" t="e">
        <f>I19/'opt 9'!G6</f>
        <v>#DIV/0!</v>
      </c>
      <c r="J20" s="89"/>
      <c r="K20" s="89"/>
      <c r="L20" s="89" t="e">
        <f>L19/'opt 9'!G6</f>
        <v>#DIV/0!</v>
      </c>
      <c r="M20" s="89" t="e">
        <f>M19/'opt 9'!G6</f>
        <v>#DIV/0!</v>
      </c>
      <c r="N20" s="89" t="e">
        <f>N19/'opt 9'!G6</f>
        <v>#DIV/0!</v>
      </c>
      <c r="O20" s="89" t="e">
        <f>O19/'opt 9'!G6</f>
        <v>#DIV/0!</v>
      </c>
      <c r="P20" s="89" t="e">
        <f>P19/'opt 9'!G6</f>
        <v>#DIV/0!</v>
      </c>
      <c r="Q20" s="89" t="e">
        <f>Q19/'opt 9'!G6</f>
        <v>#DIV/0!</v>
      </c>
      <c r="R20" s="89" t="e">
        <f>R19/'opt 9'!G6</f>
        <v>#DIV/0!</v>
      </c>
      <c r="S20" s="89" t="e">
        <f>S19/'opt 9'!G6</f>
        <v>#DIV/0!</v>
      </c>
      <c r="T20" s="89" t="e">
        <f>T19/'opt 9'!G6</f>
        <v>#DIV/0!</v>
      </c>
      <c r="U20" s="89" t="e">
        <f>U19/'opt 9'!G6</f>
        <v>#DIV/0!</v>
      </c>
      <c r="V20" s="89" t="e">
        <f>V19/'opt 9'!G6</f>
        <v>#DIV/0!</v>
      </c>
      <c r="W20" s="89" t="e">
        <f>W19/'opt 9'!G6</f>
        <v>#DIV/0!</v>
      </c>
      <c r="X20" s="89" t="e">
        <f>X19/'opt 9'!G6</f>
        <v>#DIV/0!</v>
      </c>
      <c r="Y20" s="89" t="e">
        <f>Y19/'opt 9'!G6</f>
        <v>#DIV/0!</v>
      </c>
      <c r="Z20" s="89" t="e">
        <f>Z19/'opt 9'!G6</f>
        <v>#DIV/0!</v>
      </c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</row>
    <row r="21" spans="1:54" ht="21" x14ac:dyDescent="0.3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</row>
    <row r="22" spans="1:54" ht="21" x14ac:dyDescent="0.3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</row>
    <row r="23" spans="1:54" ht="21" x14ac:dyDescent="0.3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</row>
    <row r="24" spans="1:54" ht="21" x14ac:dyDescent="0.3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</row>
    <row r="25" spans="1:54" ht="21" x14ac:dyDescent="0.3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</row>
    <row r="26" spans="1:54" ht="21" x14ac:dyDescent="0.35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</row>
    <row r="27" spans="1:54" ht="21" x14ac:dyDescent="0.35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</row>
  </sheetData>
  <pageMargins left="0.7" right="0.7" top="0.75" bottom="0.75" header="0.3" footer="0.3"/>
  <pageSetup paperSize="9" orientation="portrait" verticalDpi="597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6E82-E83F-458F-89A0-64CCC31A9CC1}">
  <dimension ref="A1:AX4"/>
  <sheetViews>
    <sheetView zoomScale="86" zoomScaleNormal="86" workbookViewId="0">
      <selection activeCell="H37" sqref="H37"/>
    </sheetView>
  </sheetViews>
  <sheetFormatPr baseColWidth="10" defaultRowHeight="15" x14ac:dyDescent="0.25"/>
  <cols>
    <col min="2" max="2" width="14.42578125" customWidth="1"/>
    <col min="3" max="3" width="16.28515625" customWidth="1"/>
  </cols>
  <sheetData>
    <row r="1" spans="1:50" ht="18" x14ac:dyDescent="0.25">
      <c r="A1" s="210" t="s">
        <v>14</v>
      </c>
      <c r="B1" s="210" t="s">
        <v>15</v>
      </c>
      <c r="C1" s="210" t="s">
        <v>8</v>
      </c>
      <c r="D1" s="210" t="s">
        <v>9</v>
      </c>
      <c r="E1" s="210" t="s">
        <v>234</v>
      </c>
      <c r="F1" s="210" t="s">
        <v>56</v>
      </c>
      <c r="G1" s="210" t="s">
        <v>57</v>
      </c>
      <c r="H1" s="210" t="s">
        <v>58</v>
      </c>
      <c r="I1" s="210" t="s">
        <v>77</v>
      </c>
      <c r="J1" s="210" t="s">
        <v>204</v>
      </c>
      <c r="K1" s="210" t="s">
        <v>16</v>
      </c>
      <c r="L1" s="210" t="s">
        <v>12</v>
      </c>
      <c r="M1" s="210" t="s">
        <v>44</v>
      </c>
      <c r="N1" s="210" t="s">
        <v>55</v>
      </c>
      <c r="O1" s="210" t="s">
        <v>17</v>
      </c>
      <c r="P1" s="210" t="s">
        <v>80</v>
      </c>
      <c r="Q1" s="210" t="s">
        <v>81</v>
      </c>
      <c r="R1" s="210" t="s">
        <v>82</v>
      </c>
      <c r="S1" s="210" t="s">
        <v>83</v>
      </c>
      <c r="T1" s="210" t="s">
        <v>45</v>
      </c>
      <c r="U1" s="210" t="s">
        <v>43</v>
      </c>
      <c r="V1" s="210" t="s">
        <v>13</v>
      </c>
      <c r="W1" s="210" t="s">
        <v>0</v>
      </c>
      <c r="X1" s="210" t="s">
        <v>11</v>
      </c>
      <c r="Y1" s="210" t="s">
        <v>10</v>
      </c>
      <c r="Z1" s="210" t="s">
        <v>14</v>
      </c>
      <c r="AA1" s="210" t="s">
        <v>15</v>
      </c>
      <c r="AB1" s="210" t="s">
        <v>8</v>
      </c>
      <c r="AC1" s="210" t="s">
        <v>9</v>
      </c>
      <c r="AD1" s="210" t="s">
        <v>234</v>
      </c>
      <c r="AE1" s="210" t="s">
        <v>56</v>
      </c>
      <c r="AF1" s="210" t="s">
        <v>57</v>
      </c>
      <c r="AG1" s="210" t="s">
        <v>58</v>
      </c>
      <c r="AH1" s="210" t="s">
        <v>77</v>
      </c>
      <c r="AI1" s="210" t="s">
        <v>204</v>
      </c>
      <c r="AJ1" s="210" t="s">
        <v>16</v>
      </c>
      <c r="AK1" s="210" t="s">
        <v>12</v>
      </c>
      <c r="AL1" s="210" t="s">
        <v>44</v>
      </c>
      <c r="AM1" s="210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13</v>
      </c>
      <c r="AV1" s="210" t="s">
        <v>0</v>
      </c>
      <c r="AW1" s="210" t="s">
        <v>11</v>
      </c>
      <c r="AX1" s="210" t="s">
        <v>10</v>
      </c>
    </row>
    <row r="2" spans="1:50" ht="23.25" x14ac:dyDescent="0.35">
      <c r="A2" s="36">
        <f>100-B2-C2-D2-E2-F2-G2-H2-I2-J2-K2-L2-M2-N2-O2-P2-Q2-R2-S2-T2-U2-V2-W2-X2-Y2</f>
        <v>100</v>
      </c>
      <c r="B2" s="71">
        <f>'1.0330_3'!C12</f>
        <v>0</v>
      </c>
      <c r="C2" s="71">
        <f>'1.0330_3'!D12</f>
        <v>0</v>
      </c>
      <c r="D2" s="71">
        <f>'1.0330_3'!E12</f>
        <v>0</v>
      </c>
      <c r="E2" s="71">
        <f>'1.0330_3'!F12</f>
        <v>0</v>
      </c>
      <c r="F2" s="71">
        <f>'1.0330_3'!G12</f>
        <v>0</v>
      </c>
      <c r="G2" s="71">
        <f>'1.0330_3'!H12</f>
        <v>0</v>
      </c>
      <c r="H2" s="71">
        <f>'1.0330_3'!I12</f>
        <v>0</v>
      </c>
      <c r="I2" s="71">
        <f>'1.0330_3'!J12</f>
        <v>0</v>
      </c>
      <c r="J2" s="71">
        <f>'1.0330_3'!K12</f>
        <v>0</v>
      </c>
      <c r="K2" s="71">
        <f>'1.0330_3'!L12</f>
        <v>0</v>
      </c>
      <c r="L2" s="71">
        <f>'1.0330_3'!M12</f>
        <v>0</v>
      </c>
      <c r="M2" s="71">
        <f>'1.0330_3'!N12</f>
        <v>0</v>
      </c>
      <c r="N2" s="71">
        <f>'1.0330_3'!O12</f>
        <v>0</v>
      </c>
      <c r="O2" s="71">
        <f>'1.0330_3'!P12</f>
        <v>0</v>
      </c>
      <c r="P2" s="71">
        <f>'1.0330_3'!Q12</f>
        <v>0</v>
      </c>
      <c r="Q2" s="71">
        <f>'1.0330_3'!R12</f>
        <v>0</v>
      </c>
      <c r="R2" s="71">
        <f>'1.0330_3'!S12</f>
        <v>0</v>
      </c>
      <c r="S2" s="71">
        <f>'1.0330_3'!T12</f>
        <v>0</v>
      </c>
      <c r="T2" s="71">
        <f>'1.0330_3'!U12</f>
        <v>0</v>
      </c>
      <c r="U2" s="71">
        <f>'1.0330_3'!V12</f>
        <v>0</v>
      </c>
      <c r="V2" s="71">
        <f>'1.0330_3'!W12</f>
        <v>0</v>
      </c>
      <c r="W2" s="71">
        <f>'1.0330_3'!X12</f>
        <v>0</v>
      </c>
      <c r="X2" s="71">
        <f>'1.0330_3'!Y12</f>
        <v>0</v>
      </c>
      <c r="Y2" s="71">
        <f>'1.0330_3'!Z12</f>
        <v>0</v>
      </c>
      <c r="Z2" s="68">
        <v>55.84</v>
      </c>
      <c r="AA2" s="7">
        <v>28.0855</v>
      </c>
      <c r="AB2" s="7">
        <v>58.693399999999997</v>
      </c>
      <c r="AC2" s="7">
        <v>63.545999999999999</v>
      </c>
      <c r="AD2" s="7">
        <v>65.38</v>
      </c>
      <c r="AE2" s="7">
        <v>12.01</v>
      </c>
      <c r="AF2" s="7">
        <v>30.973762000000001</v>
      </c>
      <c r="AG2" s="7">
        <v>32.064999999999998</v>
      </c>
      <c r="AH2" s="7">
        <v>14.0067</v>
      </c>
      <c r="AI2" s="7">
        <v>10.81</v>
      </c>
      <c r="AJ2" s="7">
        <v>54.938043999999998</v>
      </c>
      <c r="AK2" s="7">
        <v>26.981539999999999</v>
      </c>
      <c r="AL2" s="7">
        <v>51.996099999999998</v>
      </c>
      <c r="AM2" s="7">
        <v>95.95</v>
      </c>
      <c r="AN2">
        <v>47.866999999999997</v>
      </c>
      <c r="AO2">
        <v>50.941499999999998</v>
      </c>
      <c r="AP2">
        <v>92.906369999999995</v>
      </c>
      <c r="AQ2">
        <v>183.84</v>
      </c>
      <c r="AR2">
        <v>180.94788</v>
      </c>
      <c r="AS2">
        <v>91.224000000000004</v>
      </c>
      <c r="AT2">
        <v>58.933194999999998</v>
      </c>
      <c r="AU2">
        <v>24.305</v>
      </c>
      <c r="AV2" s="7">
        <v>121.76</v>
      </c>
      <c r="AW2" s="7">
        <v>207.2</v>
      </c>
      <c r="AX2" s="7">
        <v>118.71</v>
      </c>
    </row>
    <row r="3" spans="1:50" ht="18.75" x14ac:dyDescent="0.3">
      <c r="A3" s="36">
        <f>100*((((A2)*(Z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100</v>
      </c>
      <c r="B3" s="36">
        <f>100*((((B2)*(AA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C3" s="36">
        <f>100*((((C2)*(AB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D3" s="36">
        <f>100*((((D2)*(AC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E3" s="36">
        <f>100*((((E2)*(AD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F3" s="36">
        <f>100*((((F2)*(AE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G3" s="36">
        <f>100*((((G2)*(AF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H3" s="36">
        <f>100*((((H2)*(AG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I3" s="36">
        <f>100*((((I2)*(AH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J3" s="36">
        <f>100*((((J2)*(AI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K3" s="36">
        <f>100*((((K2)*(AJ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L3" s="36">
        <f>100*((((L2)*(AK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M3" s="36">
        <f>100*((((M2)*(AL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N3" s="36">
        <f>100*((((N2)*(AM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W2))+((X2)/(AW2))+((Y2)/(AX2)))))</f>
        <v>0</v>
      </c>
      <c r="P3" s="36">
        <f>100*((((P2)*(AO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Q3" s="36">
        <f>100*((((Q2)*(AP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R3" s="36">
        <f>100*((((R2)*(AQ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S3" s="36">
        <f>100*((((S2)*(AR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T3" s="36">
        <f>100*((((T2)*(AS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U3" s="36">
        <f>100*((((U2)*(AT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V3" s="36">
        <f>100*((((V2)*(AU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W3" s="7">
        <f>100*((((W2)*(AV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X3" s="7">
        <f>100*((((X2)*(AW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Y3" s="7">
        <f>100*((((Y2)*(AX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Z3" s="68">
        <v>55.84</v>
      </c>
      <c r="AA3" s="7">
        <v>95.94</v>
      </c>
      <c r="AB3" s="7">
        <v>183.85</v>
      </c>
      <c r="AC3" s="7">
        <v>58.933199999999999</v>
      </c>
      <c r="AD3" s="7">
        <v>63.54</v>
      </c>
      <c r="AE3" s="7">
        <v>12.01</v>
      </c>
      <c r="AF3" s="7">
        <v>28.085000000000001</v>
      </c>
      <c r="AG3" s="7">
        <v>47.88</v>
      </c>
      <c r="AH3" s="7">
        <v>58.692999999999998</v>
      </c>
      <c r="AI3" s="7">
        <v>51.99</v>
      </c>
      <c r="AJ3" s="7">
        <v>54.93</v>
      </c>
      <c r="AK3" s="7">
        <v>92.9</v>
      </c>
      <c r="AL3" s="7">
        <v>14.0067</v>
      </c>
      <c r="AM3" s="7">
        <v>26.981539999999999</v>
      </c>
    </row>
    <row r="4" spans="1:50" ht="15.75" x14ac:dyDescent="0.25">
      <c r="A4" s="8"/>
      <c r="B4" s="9"/>
    </row>
  </sheetData>
  <pageMargins left="0.7" right="0.7" top="0.78740157499999996" bottom="0.78740157499999996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D044B-38CF-43BC-A5EB-D2DA64DB6366}">
  <dimension ref="A1:BG33"/>
  <sheetViews>
    <sheetView zoomScale="78" zoomScaleNormal="78" workbookViewId="0">
      <selection activeCell="C5" sqref="C5:R7"/>
    </sheetView>
  </sheetViews>
  <sheetFormatPr baseColWidth="10" defaultColWidth="8.7109375" defaultRowHeight="15" x14ac:dyDescent="0.25"/>
  <cols>
    <col min="1" max="1" width="36" customWidth="1"/>
    <col min="2" max="2" width="17.28515625" customWidth="1"/>
    <col min="3" max="3" width="16.7109375" customWidth="1"/>
    <col min="4" max="4" width="14.85546875" customWidth="1"/>
    <col min="5" max="5" width="12.7109375" customWidth="1"/>
    <col min="6" max="6" width="9.42578125" customWidth="1"/>
    <col min="7" max="7" width="10.140625" customWidth="1"/>
    <col min="8" max="8" width="6.5703125" customWidth="1"/>
    <col min="9" max="9" width="9.42578125" customWidth="1"/>
    <col min="10" max="11" width="12.7109375" customWidth="1"/>
    <col min="12" max="12" width="9.140625" customWidth="1"/>
    <col min="13" max="13" width="10.140625" customWidth="1"/>
    <col min="14" max="14" width="9.85546875" customWidth="1"/>
    <col min="15" max="15" width="11.85546875" customWidth="1"/>
    <col min="16" max="16" width="11.42578125" bestFit="1" customWidth="1"/>
    <col min="17" max="17" width="12.42578125" bestFit="1" customWidth="1"/>
    <col min="18" max="18" width="11.42578125" bestFit="1" customWidth="1"/>
    <col min="19" max="26" width="12.42578125" bestFit="1" customWidth="1"/>
  </cols>
  <sheetData>
    <row r="1" spans="1:59" ht="21" x14ac:dyDescent="0.35">
      <c r="A1" s="89" t="s">
        <v>34</v>
      </c>
      <c r="B1" s="89"/>
      <c r="C1" s="89" t="e">
        <f>C5-C2</f>
        <v>#DIV/0!</v>
      </c>
      <c r="D1" s="89" t="e">
        <f>D4-D2</f>
        <v>#DIV/0!</v>
      </c>
      <c r="E1" s="89">
        <f>E2-E5</f>
        <v>0</v>
      </c>
      <c r="F1" s="89" t="e">
        <f>F4-F2</f>
        <v>#DIV/0!</v>
      </c>
      <c r="G1" s="89" t="e">
        <f t="shared" ref="G1:O1" si="0">G4-G2</f>
        <v>#DIV/0!</v>
      </c>
      <c r="H1" s="89" t="e">
        <f t="shared" si="0"/>
        <v>#DIV/0!</v>
      </c>
      <c r="I1" s="89" t="e">
        <f>I4-I2</f>
        <v>#DIV/0!</v>
      </c>
      <c r="J1" s="89">
        <f>J5-J2</f>
        <v>0</v>
      </c>
      <c r="K1" s="89">
        <f>K5-K2</f>
        <v>0</v>
      </c>
      <c r="L1" s="89" t="e">
        <f t="shared" si="0"/>
        <v>#DIV/0!</v>
      </c>
      <c r="M1" s="89" t="e">
        <f t="shared" si="0"/>
        <v>#DIV/0!</v>
      </c>
      <c r="N1" s="89" t="e">
        <f t="shared" si="0"/>
        <v>#DIV/0!</v>
      </c>
      <c r="O1" s="89" t="e">
        <f t="shared" si="0"/>
        <v>#DIV/0!</v>
      </c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7"/>
      <c r="BB1" s="7"/>
      <c r="BC1" s="7"/>
      <c r="BD1" s="7"/>
      <c r="BE1" s="7"/>
      <c r="BF1" s="7"/>
      <c r="BG1" s="7"/>
    </row>
    <row r="2" spans="1:59" ht="21" x14ac:dyDescent="0.35">
      <c r="A2" s="89" t="s">
        <v>37</v>
      </c>
      <c r="B2" s="138">
        <f>100-C2-D2-E2-F2-G2-H2-I2-J2-K2-L2-M2-N2-O2</f>
        <v>100</v>
      </c>
      <c r="C2" s="89">
        <f>'1.0330_3'!C13</f>
        <v>0</v>
      </c>
      <c r="D2" s="89">
        <f>'1.0330_3'!D13</f>
        <v>0</v>
      </c>
      <c r="E2" s="89">
        <f>'1.0330_3'!E13</f>
        <v>0</v>
      </c>
      <c r="F2" s="89">
        <f>'1.0330_3'!F13</f>
        <v>0</v>
      </c>
      <c r="G2" s="89">
        <f>'1.0330_3'!G13</f>
        <v>0</v>
      </c>
      <c r="H2" s="89">
        <f>'1.0330_3'!H13</f>
        <v>0</v>
      </c>
      <c r="I2" s="89">
        <f>'1.0330_3'!I13</f>
        <v>0</v>
      </c>
      <c r="J2" s="89">
        <f>'1.0330_3'!J13</f>
        <v>0</v>
      </c>
      <c r="K2" s="89">
        <f>'1.0330_3'!K13</f>
        <v>0</v>
      </c>
      <c r="L2" s="89">
        <f>'1.0330_3'!L13</f>
        <v>0</v>
      </c>
      <c r="M2" s="89">
        <f>'1.0330_3'!M13</f>
        <v>0</v>
      </c>
      <c r="N2" s="89">
        <f>'1.0330_3'!N13</f>
        <v>0</v>
      </c>
      <c r="O2" s="89">
        <f>'1.0330_3'!O13</f>
        <v>0</v>
      </c>
      <c r="P2" s="89">
        <f>'1.0330_3'!P13</f>
        <v>0</v>
      </c>
      <c r="Q2" s="89">
        <f>'1.0330_3'!Q13</f>
        <v>0</v>
      </c>
      <c r="R2" s="89">
        <f>'1.0330_3'!R13</f>
        <v>0</v>
      </c>
      <c r="S2" s="89">
        <f>'1.0330_3'!S13</f>
        <v>0</v>
      </c>
      <c r="T2" s="89">
        <f>'1.0330_3'!T13</f>
        <v>0</v>
      </c>
      <c r="U2" s="89">
        <f>'1.0330_3'!U13</f>
        <v>0</v>
      </c>
      <c r="V2" s="89">
        <f>'1.0330_3'!V13</f>
        <v>0</v>
      </c>
      <c r="W2" s="89">
        <f>'1.0330_3'!W13</f>
        <v>0</v>
      </c>
      <c r="X2" s="89">
        <f>'1.0330_3'!X13</f>
        <v>0</v>
      </c>
      <c r="Y2" s="89">
        <f>'1.0330_3'!Y13</f>
        <v>0</v>
      </c>
      <c r="Z2" s="89">
        <f>'1.0330_3'!Z13</f>
        <v>0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7"/>
      <c r="BB2" s="7"/>
      <c r="BC2" s="7"/>
      <c r="BD2" s="7"/>
      <c r="BE2" s="7"/>
      <c r="BF2" s="7"/>
      <c r="BG2" s="7"/>
    </row>
    <row r="3" spans="1:59" ht="21" x14ac:dyDescent="0.35">
      <c r="A3" s="89"/>
      <c r="B3" s="210" t="s">
        <v>14</v>
      </c>
      <c r="C3" s="210" t="s">
        <v>15</v>
      </c>
      <c r="D3" s="210" t="s">
        <v>8</v>
      </c>
      <c r="E3" s="210" t="s">
        <v>9</v>
      </c>
      <c r="F3" s="210" t="s">
        <v>234</v>
      </c>
      <c r="G3" s="210" t="s">
        <v>56</v>
      </c>
      <c r="H3" s="210" t="s">
        <v>57</v>
      </c>
      <c r="I3" s="210" t="s">
        <v>58</v>
      </c>
      <c r="J3" s="210" t="s">
        <v>77</v>
      </c>
      <c r="K3" s="210" t="s">
        <v>204</v>
      </c>
      <c r="L3" s="210" t="s">
        <v>16</v>
      </c>
      <c r="M3" s="210" t="s">
        <v>12</v>
      </c>
      <c r="N3" s="210" t="s">
        <v>44</v>
      </c>
      <c r="O3" s="210" t="s">
        <v>55</v>
      </c>
      <c r="P3" s="210" t="s">
        <v>17</v>
      </c>
      <c r="Q3" s="210" t="s">
        <v>80</v>
      </c>
      <c r="R3" s="210" t="s">
        <v>81</v>
      </c>
      <c r="S3" s="210" t="s">
        <v>82</v>
      </c>
      <c r="T3" s="210" t="s">
        <v>83</v>
      </c>
      <c r="U3" s="210" t="s">
        <v>45</v>
      </c>
      <c r="V3" s="210" t="s">
        <v>43</v>
      </c>
      <c r="W3" s="210" t="s">
        <v>13</v>
      </c>
      <c r="X3" s="210" t="s">
        <v>0</v>
      </c>
      <c r="Y3" s="210" t="s">
        <v>11</v>
      </c>
      <c r="Z3" s="210" t="s">
        <v>10</v>
      </c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7"/>
      <c r="BB3" s="7"/>
      <c r="BC3" s="7"/>
      <c r="BD3" s="7"/>
      <c r="BE3" s="7"/>
      <c r="BF3" s="7"/>
      <c r="BG3" s="7"/>
    </row>
    <row r="4" spans="1:59" ht="21" x14ac:dyDescent="0.35">
      <c r="A4" s="89" t="s">
        <v>35</v>
      </c>
      <c r="B4" s="89" t="e">
        <f>100-C4-D4-E4-F4-G4-H4-I4-J4-K4-L4-M4-N4-O4-P4-Q4-R4-S4-T4-U4-V4-W4-X4-Y4-Z4</f>
        <v>#DIV/0!</v>
      </c>
      <c r="C4" s="89" t="e">
        <f>'opt 10'!C56</f>
        <v>#DIV/0!</v>
      </c>
      <c r="D4" s="89" t="e">
        <f>'opt 10'!D56</f>
        <v>#DIV/0!</v>
      </c>
      <c r="E4" s="89" t="e">
        <f>'opt 10'!E56</f>
        <v>#DIV/0!</v>
      </c>
      <c r="F4" s="89" t="e">
        <f>'opt 10'!F56</f>
        <v>#DIV/0!</v>
      </c>
      <c r="G4" s="89" t="e">
        <f>'opt 10'!G56</f>
        <v>#DIV/0!</v>
      </c>
      <c r="H4" s="89" t="e">
        <f>'opt 10'!H56</f>
        <v>#DIV/0!</v>
      </c>
      <c r="I4" s="89" t="e">
        <f>'opt 10'!I56</f>
        <v>#DIV/0!</v>
      </c>
      <c r="J4" s="89" t="e">
        <f>'opt 10'!J56</f>
        <v>#DIV/0!</v>
      </c>
      <c r="K4" s="89" t="e">
        <f>'opt 10'!K56</f>
        <v>#DIV/0!</v>
      </c>
      <c r="L4" s="89" t="e">
        <f>'opt 10'!L56</f>
        <v>#DIV/0!</v>
      </c>
      <c r="M4" s="89" t="e">
        <f>'opt 10'!M56</f>
        <v>#DIV/0!</v>
      </c>
      <c r="N4" s="89" t="e">
        <f>'opt 10'!N56</f>
        <v>#DIV/0!</v>
      </c>
      <c r="O4" s="89" t="e">
        <f>'opt 10'!O56</f>
        <v>#DIV/0!</v>
      </c>
      <c r="P4" s="89" t="e">
        <f>'opt 10'!P56</f>
        <v>#DIV/0!</v>
      </c>
      <c r="Q4" s="89" t="e">
        <f>'opt 10'!Q56</f>
        <v>#DIV/0!</v>
      </c>
      <c r="R4" s="89" t="e">
        <f>'opt 10'!R56</f>
        <v>#DIV/0!</v>
      </c>
      <c r="S4" s="89" t="e">
        <f>'opt 10'!S56</f>
        <v>#DIV/0!</v>
      </c>
      <c r="T4" s="89" t="e">
        <f>'opt 10'!T56</f>
        <v>#DIV/0!</v>
      </c>
      <c r="U4" s="89" t="e">
        <f>'opt 10'!U56</f>
        <v>#DIV/0!</v>
      </c>
      <c r="V4" s="89" t="e">
        <f>'opt 10'!V56</f>
        <v>#DIV/0!</v>
      </c>
      <c r="W4" s="89" t="e">
        <f>'opt 10'!W56</f>
        <v>#DIV/0!</v>
      </c>
      <c r="X4" s="89" t="e">
        <f>'opt 10'!X56</f>
        <v>#DIV/0!</v>
      </c>
      <c r="Y4" s="89" t="e">
        <f>'opt 10'!Y56</f>
        <v>#DIV/0!</v>
      </c>
      <c r="Z4" s="89" t="e">
        <f>'opt 10'!Z56</f>
        <v>#DIV/0!</v>
      </c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7"/>
      <c r="BB4" s="7"/>
      <c r="BC4" s="7"/>
      <c r="BD4" s="7"/>
      <c r="BE4" s="7"/>
      <c r="BF4" s="7"/>
      <c r="BG4" s="7"/>
    </row>
    <row r="5" spans="1:59" ht="21" x14ac:dyDescent="0.35">
      <c r="A5" s="89" t="s">
        <v>36</v>
      </c>
      <c r="B5" s="89" t="e">
        <f>100-C5-D5-E5-F5-G5-H5-I5-J5-K5-L5-M5-N5-O5</f>
        <v>#DIV/0!</v>
      </c>
      <c r="C5" s="149" t="e">
        <f>C4</f>
        <v>#DIV/0!</v>
      </c>
      <c r="D5" s="158"/>
      <c r="E5" s="159"/>
      <c r="F5" s="159"/>
      <c r="G5" s="159" t="e">
        <f>G4+D4+E4+F4+H4+I4+J4+K4+M4+V4</f>
        <v>#DIV/0!</v>
      </c>
      <c r="H5" s="159"/>
      <c r="I5" s="159"/>
      <c r="J5" s="149"/>
      <c r="K5" s="149"/>
      <c r="L5" s="7" t="e">
        <f>L4</f>
        <v>#DIV/0!</v>
      </c>
      <c r="M5" s="7"/>
      <c r="N5" s="7" t="e">
        <f>N4+P4+Q4+R4+S4+T4+U4+W4+X4+Y4+Z4</f>
        <v>#DIV/0!</v>
      </c>
      <c r="O5" s="7" t="e">
        <f>O4</f>
        <v>#DIV/0!</v>
      </c>
      <c r="P5" s="7"/>
      <c r="Q5" s="7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7"/>
      <c r="BB5" s="7"/>
      <c r="BC5" s="7"/>
      <c r="BD5" s="7"/>
      <c r="BE5" s="7"/>
      <c r="BF5" s="7"/>
      <c r="BG5" s="7"/>
    </row>
    <row r="6" spans="1:59" ht="21" x14ac:dyDescent="0.35">
      <c r="A6" s="89"/>
      <c r="B6" s="8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7"/>
      <c r="BB6" s="7"/>
      <c r="BC6" s="7"/>
      <c r="BD6" s="7"/>
      <c r="BE6" s="7"/>
      <c r="BF6" s="7"/>
      <c r="BG6" s="7"/>
    </row>
    <row r="7" spans="1:59" ht="21" x14ac:dyDescent="0.35">
      <c r="A7" s="89" t="s">
        <v>92</v>
      </c>
      <c r="B7" s="139" t="e">
        <f>100-C7-D7-E7-F7-G7-H7-I7-J7-K7-L7-M7-N7-O7-P7-Q7-R7-S7-T7-U7-V7-W7-X7-Y7-Z7</f>
        <v>#DIV/0!</v>
      </c>
      <c r="C7" s="156">
        <f>C2</f>
        <v>0</v>
      </c>
      <c r="D7" s="156"/>
      <c r="E7" s="156"/>
      <c r="F7" s="156"/>
      <c r="G7" s="156" t="e">
        <f>G2-D4-E4-F4-H4-I4-J4-K4-M4-V4</f>
        <v>#DIV/0!</v>
      </c>
      <c r="H7" s="156"/>
      <c r="I7" s="156"/>
      <c r="J7" s="156"/>
      <c r="K7" s="156"/>
      <c r="L7" s="156">
        <f>L2</f>
        <v>0</v>
      </c>
      <c r="M7" s="156">
        <f>M2</f>
        <v>0</v>
      </c>
      <c r="N7" s="156" t="e">
        <f>N2-P4-Q4-R4-S4-T4-U4-W4-X4-Y4-Z4</f>
        <v>#DIV/0!</v>
      </c>
      <c r="O7" s="156"/>
      <c r="P7" s="156"/>
      <c r="Q7" s="156"/>
      <c r="R7" s="177"/>
      <c r="S7" s="177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7"/>
      <c r="BB7" s="7"/>
      <c r="BC7" s="7"/>
      <c r="BD7" s="7"/>
      <c r="BE7" s="7"/>
      <c r="BF7" s="7"/>
      <c r="BG7" s="7"/>
    </row>
    <row r="8" spans="1:59" ht="21" x14ac:dyDescent="0.35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7"/>
      <c r="BB8" s="7"/>
      <c r="BC8" s="7"/>
      <c r="BD8" s="7"/>
      <c r="BE8" s="7"/>
      <c r="BF8" s="7"/>
      <c r="BG8" s="7"/>
    </row>
    <row r="9" spans="1:59" ht="21" x14ac:dyDescent="0.35">
      <c r="A9" s="89"/>
      <c r="B9" s="89"/>
      <c r="C9" s="89"/>
      <c r="D9" s="89"/>
      <c r="E9" s="89"/>
      <c r="F9" s="89" t="s">
        <v>7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7"/>
      <c r="BB9" s="7"/>
      <c r="BC9" s="7"/>
      <c r="BD9" s="7"/>
      <c r="BE9" s="7"/>
      <c r="BF9" s="7"/>
      <c r="BG9" s="7"/>
    </row>
    <row r="10" spans="1:59" ht="21" x14ac:dyDescent="0.35">
      <c r="A10" s="89" t="s">
        <v>32</v>
      </c>
      <c r="B10" s="180"/>
      <c r="C10" s="180"/>
      <c r="D10" s="89"/>
      <c r="E10" s="180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7"/>
      <c r="BB10" s="7"/>
      <c r="BC10" s="7"/>
      <c r="BD10" s="7"/>
      <c r="BE10" s="7"/>
      <c r="BF10" s="7"/>
      <c r="BG10" s="7"/>
    </row>
    <row r="11" spans="1:59" ht="21" x14ac:dyDescent="0.35">
      <c r="A11" s="89" t="s">
        <v>33</v>
      </c>
      <c r="B11" s="181"/>
      <c r="C11" s="181"/>
      <c r="D11" s="89"/>
      <c r="E11" s="181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7"/>
      <c r="BB11" s="7"/>
      <c r="BC11" s="7"/>
      <c r="BD11" s="7"/>
      <c r="BE11" s="7"/>
      <c r="BF11" s="7"/>
      <c r="BG11" s="7"/>
    </row>
    <row r="12" spans="1:59" ht="21" x14ac:dyDescent="0.35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7"/>
      <c r="BB12" s="7"/>
      <c r="BC12" s="7"/>
      <c r="BD12" s="7"/>
      <c r="BE12" s="7"/>
      <c r="BF12" s="7"/>
      <c r="BG12" s="7"/>
    </row>
    <row r="13" spans="1:59" ht="21" x14ac:dyDescent="0.35">
      <c r="A13" s="89"/>
      <c r="B13" s="89" t="s">
        <v>14</v>
      </c>
      <c r="C13" s="180" t="s">
        <v>56</v>
      </c>
      <c r="D13" s="180" t="s">
        <v>15</v>
      </c>
      <c r="E13" s="181" t="s">
        <v>8</v>
      </c>
      <c r="F13" s="180" t="s">
        <v>9</v>
      </c>
      <c r="G13" s="180" t="s">
        <v>57</v>
      </c>
      <c r="H13" s="181" t="s">
        <v>58</v>
      </c>
      <c r="I13" s="180" t="s">
        <v>77</v>
      </c>
      <c r="J13" s="181" t="s">
        <v>13</v>
      </c>
      <c r="K13" s="180" t="s">
        <v>16</v>
      </c>
      <c r="L13" s="180" t="s">
        <v>55</v>
      </c>
      <c r="M13" s="181" t="s">
        <v>44</v>
      </c>
      <c r="N13" s="181" t="s">
        <v>10</v>
      </c>
      <c r="O13" s="180" t="s">
        <v>12</v>
      </c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7"/>
      <c r="BB13" s="7"/>
      <c r="BC13" s="7"/>
      <c r="BD13" s="7"/>
      <c r="BE13" s="7"/>
      <c r="BF13" s="7"/>
      <c r="BG13" s="7"/>
    </row>
    <row r="14" spans="1:59" ht="21" x14ac:dyDescent="0.35">
      <c r="A14" s="89" t="s">
        <v>39</v>
      </c>
      <c r="B14" s="89" t="e">
        <f>100-(C14+D14+E14+F14+G14+H14+I14+J14+K14+L14+M14+N14+O14)</f>
        <v>#DIV/0!</v>
      </c>
      <c r="C14" s="89" t="e">
        <f>C5-C1</f>
        <v>#DIV/0!</v>
      </c>
      <c r="D14" s="89" t="e">
        <f>D5-D1</f>
        <v>#DIV/0!</v>
      </c>
      <c r="E14" s="89">
        <f t="shared" ref="E14:I14" si="1">E5</f>
        <v>0</v>
      </c>
      <c r="F14" s="89">
        <f t="shared" si="1"/>
        <v>0</v>
      </c>
      <c r="G14" s="89" t="e">
        <f t="shared" si="1"/>
        <v>#DIV/0!</v>
      </c>
      <c r="H14" s="89">
        <f t="shared" si="1"/>
        <v>0</v>
      </c>
      <c r="I14" s="89">
        <f t="shared" si="1"/>
        <v>0</v>
      </c>
      <c r="J14" s="89">
        <f>J5-J1</f>
        <v>0</v>
      </c>
      <c r="K14" s="89">
        <f>K5-K1</f>
        <v>0</v>
      </c>
      <c r="L14" s="89" t="e">
        <f t="shared" ref="L14:O14" si="2">L5</f>
        <v>#DIV/0!</v>
      </c>
      <c r="M14" s="89">
        <f t="shared" si="2"/>
        <v>0</v>
      </c>
      <c r="N14" s="89" t="e">
        <f t="shared" si="2"/>
        <v>#DIV/0!</v>
      </c>
      <c r="O14" s="89" t="e">
        <f t="shared" si="2"/>
        <v>#DIV/0!</v>
      </c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7"/>
      <c r="BB14" s="7"/>
      <c r="BC14" s="7"/>
      <c r="BD14" s="7"/>
      <c r="BE14" s="7"/>
      <c r="BF14" s="7"/>
      <c r="BG14" s="7"/>
    </row>
    <row r="15" spans="1:59" ht="21" x14ac:dyDescent="0.3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7"/>
      <c r="BB15" s="7"/>
      <c r="BC15" s="7"/>
      <c r="BD15" s="7"/>
      <c r="BE15" s="7"/>
      <c r="BF15" s="7"/>
      <c r="BG15" s="7"/>
    </row>
    <row r="16" spans="1:59" ht="21" x14ac:dyDescent="0.3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7"/>
      <c r="BB16" s="7"/>
      <c r="BC16" s="7"/>
      <c r="BD16" s="7"/>
      <c r="BE16" s="7"/>
      <c r="BF16" s="7"/>
      <c r="BG16" s="7"/>
    </row>
    <row r="17" spans="1:59" ht="21" x14ac:dyDescent="0.35">
      <c r="A17" s="89"/>
      <c r="B17" s="210" t="s">
        <v>14</v>
      </c>
      <c r="C17" s="210" t="s">
        <v>15</v>
      </c>
      <c r="D17" s="210" t="s">
        <v>8</v>
      </c>
      <c r="E17" s="210" t="s">
        <v>9</v>
      </c>
      <c r="F17" s="210" t="s">
        <v>234</v>
      </c>
      <c r="G17" s="210" t="s">
        <v>56</v>
      </c>
      <c r="H17" s="210" t="s">
        <v>57</v>
      </c>
      <c r="I17" s="210" t="s">
        <v>58</v>
      </c>
      <c r="J17" s="210" t="s">
        <v>77</v>
      </c>
      <c r="K17" s="210" t="s">
        <v>204</v>
      </c>
      <c r="L17" s="210" t="s">
        <v>16</v>
      </c>
      <c r="M17" s="210" t="s">
        <v>12</v>
      </c>
      <c r="N17" s="210" t="s">
        <v>44</v>
      </c>
      <c r="O17" s="210" t="s">
        <v>55</v>
      </c>
      <c r="P17" s="210" t="s">
        <v>17</v>
      </c>
      <c r="Q17" s="210" t="s">
        <v>80</v>
      </c>
      <c r="R17" s="210" t="s">
        <v>81</v>
      </c>
      <c r="S17" s="210" t="s">
        <v>82</v>
      </c>
      <c r="T17" s="210" t="s">
        <v>83</v>
      </c>
      <c r="U17" s="210" t="s">
        <v>45</v>
      </c>
      <c r="V17" s="210" t="s">
        <v>43</v>
      </c>
      <c r="W17" s="210" t="s">
        <v>13</v>
      </c>
      <c r="X17" s="210" t="s">
        <v>0</v>
      </c>
      <c r="Y17" s="210" t="s">
        <v>11</v>
      </c>
      <c r="Z17" s="210" t="s">
        <v>10</v>
      </c>
      <c r="AA17" s="211" t="s">
        <v>14</v>
      </c>
      <c r="AB17" s="212" t="s">
        <v>15</v>
      </c>
      <c r="AC17" s="213" t="s">
        <v>8</v>
      </c>
      <c r="AD17" s="214" t="s">
        <v>9</v>
      </c>
      <c r="AE17" s="213" t="s">
        <v>234</v>
      </c>
      <c r="AF17" s="213" t="s">
        <v>56</v>
      </c>
      <c r="AG17" s="214" t="s">
        <v>57</v>
      </c>
      <c r="AH17" s="213" t="s">
        <v>58</v>
      </c>
      <c r="AI17" s="215" t="s">
        <v>77</v>
      </c>
      <c r="AJ17" s="216" t="s">
        <v>204</v>
      </c>
      <c r="AK17" s="216" t="s">
        <v>16</v>
      </c>
      <c r="AL17" s="215" t="s">
        <v>12</v>
      </c>
      <c r="AM17" s="215" t="s">
        <v>44</v>
      </c>
      <c r="AN17" s="216" t="s">
        <v>55</v>
      </c>
      <c r="AO17" s="210" t="s">
        <v>17</v>
      </c>
      <c r="AP17" s="210" t="s">
        <v>80</v>
      </c>
      <c r="AQ17" s="210" t="s">
        <v>81</v>
      </c>
      <c r="AR17" s="210" t="s">
        <v>82</v>
      </c>
      <c r="AS17" s="210" t="s">
        <v>83</v>
      </c>
      <c r="AT17" s="210" t="s">
        <v>45</v>
      </c>
      <c r="AU17" s="210" t="s">
        <v>43</v>
      </c>
      <c r="AV17" s="210" t="s">
        <v>13</v>
      </c>
      <c r="AW17" s="210" t="s">
        <v>0</v>
      </c>
      <c r="AX17" s="210" t="s">
        <v>11</v>
      </c>
      <c r="AY17" s="210" t="s">
        <v>10</v>
      </c>
      <c r="AZ17" s="89"/>
      <c r="BA17" s="7"/>
      <c r="BB17" s="7"/>
      <c r="BC17" s="7"/>
      <c r="BD17" s="7"/>
      <c r="BE17" s="7"/>
      <c r="BF17" s="7"/>
      <c r="BG17" s="7"/>
    </row>
    <row r="18" spans="1:59" ht="21" x14ac:dyDescent="0.35">
      <c r="A18" s="89"/>
      <c r="B18" s="217" t="e">
        <f>100-C18-D18-E18-F18-G18-H18-I18-J18-K18-L18-M18-N18-O18-P18-Q18-R18-S18-T18-U18-V18-W18-X18-Y18-Z18</f>
        <v>#DIV/0!</v>
      </c>
      <c r="C18" s="218">
        <f>C7</f>
        <v>0</v>
      </c>
      <c r="D18" s="218" t="e">
        <f t="shared" ref="D18:Z18" si="3">D4</f>
        <v>#DIV/0!</v>
      </c>
      <c r="E18" s="218" t="e">
        <f t="shared" si="3"/>
        <v>#DIV/0!</v>
      </c>
      <c r="F18" s="218" t="e">
        <f t="shared" si="3"/>
        <v>#DIV/0!</v>
      </c>
      <c r="G18" s="218" t="e">
        <f>G7</f>
        <v>#DIV/0!</v>
      </c>
      <c r="H18" s="218" t="e">
        <f t="shared" si="3"/>
        <v>#DIV/0!</v>
      </c>
      <c r="I18" s="218" t="e">
        <f t="shared" si="3"/>
        <v>#DIV/0!</v>
      </c>
      <c r="J18" s="218" t="e">
        <f t="shared" si="3"/>
        <v>#DIV/0!</v>
      </c>
      <c r="K18" s="218" t="e">
        <f t="shared" si="3"/>
        <v>#DIV/0!</v>
      </c>
      <c r="L18" s="218">
        <f>L7</f>
        <v>0</v>
      </c>
      <c r="M18" s="218">
        <f>M7</f>
        <v>0</v>
      </c>
      <c r="N18" s="218" t="e">
        <f>N7</f>
        <v>#DIV/0!</v>
      </c>
      <c r="O18" s="218" t="e">
        <f t="shared" si="3"/>
        <v>#DIV/0!</v>
      </c>
      <c r="P18" s="218" t="e">
        <f t="shared" si="3"/>
        <v>#DIV/0!</v>
      </c>
      <c r="Q18" s="218" t="e">
        <f t="shared" si="3"/>
        <v>#DIV/0!</v>
      </c>
      <c r="R18" s="218" t="e">
        <f t="shared" si="3"/>
        <v>#DIV/0!</v>
      </c>
      <c r="S18" s="218" t="e">
        <f t="shared" si="3"/>
        <v>#DIV/0!</v>
      </c>
      <c r="T18" s="218" t="e">
        <f t="shared" si="3"/>
        <v>#DIV/0!</v>
      </c>
      <c r="U18" s="218" t="e">
        <f t="shared" si="3"/>
        <v>#DIV/0!</v>
      </c>
      <c r="V18" s="218" t="e">
        <f t="shared" si="3"/>
        <v>#DIV/0!</v>
      </c>
      <c r="W18" s="218" t="e">
        <f t="shared" si="3"/>
        <v>#DIV/0!</v>
      </c>
      <c r="X18" s="218" t="e">
        <f t="shared" si="3"/>
        <v>#DIV/0!</v>
      </c>
      <c r="Y18" s="218" t="e">
        <f t="shared" si="3"/>
        <v>#DIV/0!</v>
      </c>
      <c r="Z18" s="218" t="e">
        <f t="shared" si="3"/>
        <v>#DIV/0!</v>
      </c>
      <c r="AA18" s="219">
        <v>55.84</v>
      </c>
      <c r="AB18" s="219">
        <v>28.0855</v>
      </c>
      <c r="AC18" s="219">
        <v>58.693399999999997</v>
      </c>
      <c r="AD18" s="219">
        <v>63.545999999999999</v>
      </c>
      <c r="AE18" s="219">
        <v>65.38</v>
      </c>
      <c r="AF18" s="219">
        <v>12.01</v>
      </c>
      <c r="AG18" s="219">
        <v>30.973762000000001</v>
      </c>
      <c r="AH18" s="219">
        <v>32.064999999999998</v>
      </c>
      <c r="AI18" s="219">
        <v>14.0067</v>
      </c>
      <c r="AJ18" s="219">
        <v>10.81</v>
      </c>
      <c r="AK18" s="219">
        <v>54.938043999999998</v>
      </c>
      <c r="AL18" s="219">
        <v>26.981539999999999</v>
      </c>
      <c r="AM18" s="219">
        <v>51.996099999999998</v>
      </c>
      <c r="AN18" s="219">
        <v>95.95</v>
      </c>
      <c r="AO18" s="220">
        <v>47.866999999999997</v>
      </c>
      <c r="AP18" s="220">
        <v>50.941499999999998</v>
      </c>
      <c r="AQ18" s="220">
        <v>92.906369999999995</v>
      </c>
      <c r="AR18" s="220">
        <v>183.84</v>
      </c>
      <c r="AS18" s="220">
        <v>180.94788</v>
      </c>
      <c r="AT18" s="220">
        <v>91.224000000000004</v>
      </c>
      <c r="AU18" s="220">
        <v>58.933194999999998</v>
      </c>
      <c r="AV18" s="220">
        <v>24.305</v>
      </c>
      <c r="AW18" s="219">
        <v>121.76</v>
      </c>
      <c r="AX18" s="219">
        <v>207.2</v>
      </c>
      <c r="AY18" s="219">
        <v>118.71</v>
      </c>
      <c r="AZ18" s="89"/>
      <c r="BA18" s="7"/>
      <c r="BB18" s="7"/>
      <c r="BC18" s="7"/>
      <c r="BD18" s="7"/>
      <c r="BE18" s="7"/>
      <c r="BF18" s="7"/>
      <c r="BG18" s="7"/>
    </row>
    <row r="19" spans="1:59" ht="21" x14ac:dyDescent="0.35">
      <c r="A19" s="89"/>
      <c r="B19" s="217" t="e">
        <f>100*((((B18)*(AA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C19" s="217" t="e">
        <f>100*((((C18)*(AB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D19" s="217" t="e">
        <f>100*((((D18)*(AC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E19" s="217" t="e">
        <f>100*((((E18)*(AD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F19" s="217" t="e">
        <f>100*((((F18)*(AE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G19" s="217" t="e">
        <f>100*((((G18)*(AF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H19" s="217" t="e">
        <f>100*((((H18)*(AG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I19" s="217" t="e">
        <f>100*((((I18)*(AH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J19" s="217" t="e">
        <f>100*((((J18)*(AI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K19" s="217" t="e">
        <f>100*((((K18)*(AJ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L19" s="217" t="e">
        <f>100*((((L18)*(AK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M19" s="217" t="e">
        <f>100*((((M18)*(AL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N19" s="217" t="e">
        <f>100*((((N18)*(AM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O19" s="217" t="e">
        <f>100*((((O18)*(AN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P19" s="217" t="e">
        <f>100*((((P18)*(AO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Q19" s="217" t="e">
        <f>100*((((Q18)*(AP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R19" s="217" t="e">
        <f>100*((((R18)*(AQ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S19" s="217" t="e">
        <f>100*((((S18)*(AR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T19" s="217" t="e">
        <f>100*((((T18)*(AS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U19" s="217" t="e">
        <f>100*((((U18)*(AT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V19" s="217" t="e">
        <f>100*((((V18)*(AU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W19" s="217" t="e">
        <f>100*((((W18)*(AV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X19" s="219" t="e">
        <f>100*((((X18)*(AW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Y19" s="219" t="e">
        <f>100*((((Y18)*(AX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Z19" s="219" t="e">
        <f>100*((((Z18)*(AY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89"/>
      <c r="BA19" s="7"/>
      <c r="BB19" s="7"/>
      <c r="BC19" s="7"/>
      <c r="BD19" s="7"/>
      <c r="BE19" s="7"/>
      <c r="BF19" s="7"/>
      <c r="BG19" s="7"/>
    </row>
    <row r="20" spans="1:59" ht="21" x14ac:dyDescent="0.35">
      <c r="A20" s="89"/>
      <c r="B20" s="89"/>
      <c r="C20" s="89"/>
      <c r="D20" s="89"/>
      <c r="E20" s="89" t="e">
        <f>E19/'opt 10'!G6</f>
        <v>#DIV/0!</v>
      </c>
      <c r="F20" s="89" t="e">
        <f>F19/'opt 10'!G6</f>
        <v>#DIV/0!</v>
      </c>
      <c r="G20" s="89" t="e">
        <f>G19/'opt 10'!G6</f>
        <v>#DIV/0!</v>
      </c>
      <c r="H20" s="89" t="e">
        <f>H19/'opt 10'!G6</f>
        <v>#DIV/0!</v>
      </c>
      <c r="I20" s="89" t="e">
        <f>I19/'opt 10'!G6</f>
        <v>#DIV/0!</v>
      </c>
      <c r="J20" s="89"/>
      <c r="K20" s="89"/>
      <c r="L20" s="89" t="e">
        <f>L19/'opt 10'!G6</f>
        <v>#DIV/0!</v>
      </c>
      <c r="M20" s="89" t="e">
        <f>M19/'opt 10'!G6</f>
        <v>#DIV/0!</v>
      </c>
      <c r="N20" s="89" t="e">
        <f>N19/'opt 10'!G6</f>
        <v>#DIV/0!</v>
      </c>
      <c r="O20" s="89" t="e">
        <f>O19/'opt 10'!G6</f>
        <v>#DIV/0!</v>
      </c>
      <c r="P20" s="89" t="e">
        <f>P19/'opt 10'!G6</f>
        <v>#DIV/0!</v>
      </c>
      <c r="Q20" s="89" t="e">
        <f>Q19/'opt 10'!G6</f>
        <v>#DIV/0!</v>
      </c>
      <c r="R20" s="89" t="e">
        <f>R19/'opt 10'!G6</f>
        <v>#DIV/0!</v>
      </c>
      <c r="S20" s="89" t="e">
        <f>S19/'opt 10'!G6</f>
        <v>#DIV/0!</v>
      </c>
      <c r="T20" s="89" t="e">
        <f>T19/'opt 10'!G6</f>
        <v>#DIV/0!</v>
      </c>
      <c r="U20" s="89" t="e">
        <f>U19/'opt 10'!G6</f>
        <v>#DIV/0!</v>
      </c>
      <c r="V20" s="89" t="e">
        <f>V19/'opt 10'!G6</f>
        <v>#DIV/0!</v>
      </c>
      <c r="W20" s="89" t="e">
        <f>W19/'opt 10'!G6</f>
        <v>#DIV/0!</v>
      </c>
      <c r="X20" s="89" t="e">
        <f>X19/'opt 10'!G6</f>
        <v>#DIV/0!</v>
      </c>
      <c r="Y20" s="89" t="e">
        <f>Y19/'opt 10'!G6</f>
        <v>#DIV/0!</v>
      </c>
      <c r="Z20" s="89" t="e">
        <f>Z19/'opt 10'!G6</f>
        <v>#DIV/0!</v>
      </c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7"/>
      <c r="BB20" s="7"/>
      <c r="BC20" s="7"/>
      <c r="BD20" s="7"/>
      <c r="BE20" s="7"/>
      <c r="BF20" s="7"/>
      <c r="BG20" s="7"/>
    </row>
    <row r="21" spans="1:59" ht="21" x14ac:dyDescent="0.3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7"/>
      <c r="BB21" s="7"/>
      <c r="BC21" s="7"/>
      <c r="BD21" s="7"/>
      <c r="BE21" s="7"/>
      <c r="BF21" s="7"/>
      <c r="BG21" s="7"/>
    </row>
    <row r="22" spans="1:59" ht="21" x14ac:dyDescent="0.3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7"/>
      <c r="BB22" s="7"/>
      <c r="BC22" s="7"/>
      <c r="BD22" s="7"/>
      <c r="BE22" s="7"/>
      <c r="BF22" s="7"/>
      <c r="BG22" s="7"/>
    </row>
    <row r="23" spans="1:59" ht="21" x14ac:dyDescent="0.3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7"/>
      <c r="BB23" s="7"/>
      <c r="BC23" s="7"/>
      <c r="BD23" s="7"/>
      <c r="BE23" s="7"/>
      <c r="BF23" s="7"/>
      <c r="BG23" s="7"/>
    </row>
    <row r="24" spans="1:59" ht="21" x14ac:dyDescent="0.3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</row>
    <row r="25" spans="1:59" ht="21" x14ac:dyDescent="0.3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</row>
    <row r="26" spans="1:59" ht="21" x14ac:dyDescent="0.35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</row>
    <row r="27" spans="1:59" ht="21" x14ac:dyDescent="0.35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</row>
    <row r="28" spans="1:59" ht="21" x14ac:dyDescent="0.35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</row>
    <row r="29" spans="1:59" ht="21" x14ac:dyDescent="0.35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</row>
    <row r="30" spans="1:59" ht="21" x14ac:dyDescent="0.35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</row>
    <row r="31" spans="1:59" ht="21" x14ac:dyDescent="0.35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</row>
    <row r="32" spans="1:59" ht="21" x14ac:dyDescent="0.35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</row>
    <row r="33" spans="1:52" ht="21" x14ac:dyDescent="0.35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</row>
  </sheetData>
  <pageMargins left="0.7" right="0.7" top="0.75" bottom="0.75" header="0.3" footer="0.3"/>
  <pageSetup paperSize="9" orientation="portrait" verticalDpi="597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00BD-AE46-412E-9394-989CE83F63FF}">
  <dimension ref="A1:AZ23"/>
  <sheetViews>
    <sheetView zoomScale="96" zoomScaleNormal="96" workbookViewId="0">
      <selection activeCell="D15" sqref="D15"/>
    </sheetView>
  </sheetViews>
  <sheetFormatPr baseColWidth="10" defaultColWidth="8.7109375" defaultRowHeight="15" x14ac:dyDescent="0.25"/>
  <cols>
    <col min="1" max="1" width="24.42578125" customWidth="1"/>
    <col min="2" max="2" width="20.140625" customWidth="1"/>
    <col min="3" max="3" width="13.5703125" customWidth="1"/>
    <col min="4" max="4" width="8.28515625" customWidth="1"/>
    <col min="5" max="6" width="6.140625" customWidth="1"/>
    <col min="7" max="7" width="5.7109375" customWidth="1"/>
    <col min="8" max="8" width="6.5703125" customWidth="1"/>
    <col min="9" max="9" width="9.42578125" customWidth="1"/>
    <col min="10" max="11" width="12.7109375" customWidth="1"/>
    <col min="12" max="13" width="6" customWidth="1"/>
    <col min="14" max="14" width="5.85546875" customWidth="1"/>
    <col min="15" max="15" width="9.7109375" customWidth="1"/>
    <col min="16" max="17" width="8.85546875" bestFit="1" customWidth="1"/>
  </cols>
  <sheetData>
    <row r="1" spans="1:52" ht="21" x14ac:dyDescent="0.35">
      <c r="A1" s="89" t="s">
        <v>34</v>
      </c>
      <c r="B1" s="89"/>
      <c r="C1" s="89">
        <f>C5-C2</f>
        <v>3.0806052622011419</v>
      </c>
      <c r="D1" s="89">
        <f>D4-D2</f>
        <v>1.3390140731654472</v>
      </c>
      <c r="E1" s="89">
        <f>E2-E5</f>
        <v>0</v>
      </c>
      <c r="F1" s="89">
        <f>F4-F2</f>
        <v>0</v>
      </c>
      <c r="G1" s="89">
        <f t="shared" ref="G1:O1" si="0">G4-G2</f>
        <v>0.91521970155323784</v>
      </c>
      <c r="H1" s="89">
        <f t="shared" si="0"/>
        <v>8.8718546811123438E-3</v>
      </c>
      <c r="I1" s="89">
        <f>I4-I2</f>
        <v>1.7139854382745025E-3</v>
      </c>
      <c r="J1" s="89">
        <f>J5-J2</f>
        <v>0</v>
      </c>
      <c r="K1" s="89">
        <f>K5-K2</f>
        <v>0</v>
      </c>
      <c r="L1" s="89">
        <f t="shared" si="0"/>
        <v>1.6006086588236572</v>
      </c>
      <c r="M1" s="89">
        <f t="shared" si="0"/>
        <v>2.2612196288118464E-3</v>
      </c>
      <c r="N1" s="89">
        <f t="shared" si="0"/>
        <v>1.3740766327042508</v>
      </c>
      <c r="O1" s="89">
        <f t="shared" si="0"/>
        <v>0.10882959025400381</v>
      </c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</row>
    <row r="2" spans="1:52" ht="21" x14ac:dyDescent="0.35">
      <c r="A2" s="89" t="s">
        <v>37</v>
      </c>
      <c r="B2" s="138">
        <f>100-C2-D2-E2-F2-G2-H2-I2-J2-K2-L2-M2-N2-O2</f>
        <v>100</v>
      </c>
      <c r="C2" s="89">
        <f>'1.0330_3'!C13</f>
        <v>0</v>
      </c>
      <c r="D2" s="89">
        <f>'1.0330_3'!D13</f>
        <v>0</v>
      </c>
      <c r="E2" s="89">
        <f>'1.0330_3'!E13</f>
        <v>0</v>
      </c>
      <c r="F2" s="89">
        <f>'1.0330_3'!F13</f>
        <v>0</v>
      </c>
      <c r="G2" s="89">
        <f>'1.0330_3'!G13</f>
        <v>0</v>
      </c>
      <c r="H2" s="89">
        <f>'1.0330_3'!H13</f>
        <v>0</v>
      </c>
      <c r="I2" s="89">
        <f>'1.0330_3'!I13</f>
        <v>0</v>
      </c>
      <c r="J2" s="89">
        <f>'1.0330_3'!J13</f>
        <v>0</v>
      </c>
      <c r="K2" s="89">
        <f>'1.0330_3'!K13</f>
        <v>0</v>
      </c>
      <c r="L2" s="89">
        <f>'1.0330_3'!L13</f>
        <v>0</v>
      </c>
      <c r="M2" s="89">
        <f>'1.0330_3'!M13</f>
        <v>0</v>
      </c>
      <c r="N2" s="89">
        <f>'1.0330_3'!N13</f>
        <v>0</v>
      </c>
      <c r="O2" s="89">
        <f>'1.0330_3'!O13</f>
        <v>0</v>
      </c>
      <c r="P2" s="89">
        <f>'1.0330_3'!P13</f>
        <v>0</v>
      </c>
      <c r="Q2" s="89">
        <f>'1.0330_3'!Q13</f>
        <v>0</v>
      </c>
      <c r="R2" s="89">
        <f>'1.0330_3'!R13</f>
        <v>0</v>
      </c>
      <c r="S2" s="89">
        <f>'1.0330_3'!S13</f>
        <v>0</v>
      </c>
      <c r="T2" s="89">
        <f>'1.0330_3'!T13</f>
        <v>0</v>
      </c>
      <c r="U2" s="89">
        <f>'1.0330_3'!U13</f>
        <v>0</v>
      </c>
      <c r="V2" s="89">
        <f>'1.0330_3'!V13</f>
        <v>0</v>
      </c>
      <c r="W2" s="89">
        <f>'1.0330_3'!W13</f>
        <v>0</v>
      </c>
      <c r="X2" s="89">
        <f>'1.0330_3'!X13</f>
        <v>0</v>
      </c>
      <c r="Y2" s="89">
        <f>'1.0330_3'!Y13</f>
        <v>0</v>
      </c>
      <c r="Z2" s="89">
        <f>'1.0330_3'!Z13</f>
        <v>0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</row>
    <row r="3" spans="1:52" ht="21" x14ac:dyDescent="0.35">
      <c r="A3" s="89"/>
      <c r="B3" s="210" t="s">
        <v>14</v>
      </c>
      <c r="C3" s="210" t="s">
        <v>15</v>
      </c>
      <c r="D3" s="210" t="s">
        <v>8</v>
      </c>
      <c r="E3" s="210" t="s">
        <v>9</v>
      </c>
      <c r="F3" s="210" t="s">
        <v>234</v>
      </c>
      <c r="G3" s="210" t="s">
        <v>56</v>
      </c>
      <c r="H3" s="210" t="s">
        <v>57</v>
      </c>
      <c r="I3" s="210" t="s">
        <v>58</v>
      </c>
      <c r="J3" s="210" t="s">
        <v>77</v>
      </c>
      <c r="K3" s="210" t="s">
        <v>204</v>
      </c>
      <c r="L3" s="210" t="s">
        <v>16</v>
      </c>
      <c r="M3" s="210" t="s">
        <v>12</v>
      </c>
      <c r="N3" s="210" t="s">
        <v>44</v>
      </c>
      <c r="O3" s="210" t="s">
        <v>55</v>
      </c>
      <c r="P3" s="210" t="s">
        <v>17</v>
      </c>
      <c r="Q3" s="210" t="s">
        <v>80</v>
      </c>
      <c r="R3" s="210" t="s">
        <v>81</v>
      </c>
      <c r="S3" s="210" t="s">
        <v>82</v>
      </c>
      <c r="T3" s="210" t="s">
        <v>83</v>
      </c>
      <c r="U3" s="210" t="s">
        <v>45</v>
      </c>
      <c r="V3" s="210" t="s">
        <v>43</v>
      </c>
      <c r="W3" s="210" t="s">
        <v>13</v>
      </c>
      <c r="X3" s="210" t="s">
        <v>0</v>
      </c>
      <c r="Y3" s="210" t="s">
        <v>11</v>
      </c>
      <c r="Z3" s="210" t="s">
        <v>10</v>
      </c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</row>
    <row r="4" spans="1:52" ht="21" x14ac:dyDescent="0.35">
      <c r="A4" s="89" t="s">
        <v>35</v>
      </c>
      <c r="B4" s="89">
        <f>100-C4-D4-E4-F4-G4-H4-I4-J4-K4-L4-M4-N4-O4-P4-Q4-R4-S4-T4-U4-V4-W4-X4-Y4-Z4</f>
        <v>92.840162287943642</v>
      </c>
      <c r="C4" s="89">
        <f>'opt 1'!B3</f>
        <v>1.741591189035695</v>
      </c>
      <c r="D4" s="89">
        <f>'opt 1'!C3</f>
        <v>1.3390140731654472</v>
      </c>
      <c r="E4" s="89">
        <f>'opt 1'!D3</f>
        <v>0</v>
      </c>
      <c r="F4" s="89">
        <f>'opt 1'!E3</f>
        <v>0</v>
      </c>
      <c r="G4" s="89">
        <f>'opt 1'!F3</f>
        <v>0.91521970155323784</v>
      </c>
      <c r="H4" s="89">
        <f>'opt 1'!G3</f>
        <v>8.8718546811123438E-3</v>
      </c>
      <c r="I4" s="89">
        <f>'opt 1'!H3</f>
        <v>1.7139854382745025E-3</v>
      </c>
      <c r="J4" s="89">
        <f>'opt 1'!I3</f>
        <v>3.9237609914021089E-3</v>
      </c>
      <c r="K4" s="89">
        <f>'opt 1'!J3</f>
        <v>7.6261253115085933E-3</v>
      </c>
      <c r="L4" s="89">
        <f>'opt 1'!K3</f>
        <v>1.6006086588236572</v>
      </c>
      <c r="M4" s="89">
        <f>'opt 1'!L3</f>
        <v>2.2612196288118464E-3</v>
      </c>
      <c r="N4" s="89">
        <f>'opt 1'!M3</f>
        <v>1.3740766327042508</v>
      </c>
      <c r="O4" s="89">
        <f>'opt 1'!N3</f>
        <v>0.10882959025400381</v>
      </c>
      <c r="P4" s="89">
        <f>'opt 1'!O3</f>
        <v>0</v>
      </c>
      <c r="Q4" s="89">
        <f>'opt 1'!P3</f>
        <v>5.6100920468972061E-2</v>
      </c>
      <c r="R4" s="89">
        <f>'opt 1'!Q3</f>
        <v>0</v>
      </c>
      <c r="S4" s="89">
        <f>'opt 1'!R3</f>
        <v>0</v>
      </c>
      <c r="T4" s="89">
        <f>'opt 1'!S3</f>
        <v>0</v>
      </c>
      <c r="U4" s="89">
        <f>'opt 1'!T3</f>
        <v>0</v>
      </c>
      <c r="V4" s="89">
        <f>'opt 1'!U3</f>
        <v>0</v>
      </c>
      <c r="W4" s="89">
        <f>'opt 1'!V3</f>
        <v>0</v>
      </c>
      <c r="X4" s="89">
        <f>'opt 1'!W3</f>
        <v>0</v>
      </c>
      <c r="Y4" s="89">
        <f>'opt 1'!X3</f>
        <v>0</v>
      </c>
      <c r="Z4" s="89">
        <f>'opt 1'!Y3</f>
        <v>0</v>
      </c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</row>
    <row r="5" spans="1:52" ht="21" x14ac:dyDescent="0.35">
      <c r="A5" s="89" t="s">
        <v>36</v>
      </c>
      <c r="B5" s="89">
        <f>100-C5-D5-E5-F5-G5-H5-I5-J5-K5-L5-M5-N5-O5</f>
        <v>95.129458622201113</v>
      </c>
      <c r="C5" s="149">
        <f>C4+D4+E4+F4</f>
        <v>3.0806052622011419</v>
      </c>
      <c r="D5" s="158"/>
      <c r="E5" s="159"/>
      <c r="F5" s="159"/>
      <c r="G5" s="159">
        <f>G2+H4+I4+J4+K4</f>
        <v>2.2135726422297549E-2</v>
      </c>
      <c r="H5" s="159"/>
      <c r="I5" s="159"/>
      <c r="J5" s="149"/>
      <c r="K5" s="149"/>
      <c r="L5" s="7">
        <f>L4</f>
        <v>1.6006086588236572</v>
      </c>
      <c r="M5" s="7">
        <f>M4+P4+Q4+R4+S4+T4+U4+V4+W4+X4+Y4+Z4</f>
        <v>5.8362140097783906E-2</v>
      </c>
      <c r="N5" s="7">
        <f>N2+O4</f>
        <v>0.10882959025400381</v>
      </c>
      <c r="O5" s="7"/>
      <c r="P5" s="7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</row>
    <row r="6" spans="1:52" ht="21" x14ac:dyDescent="0.35">
      <c r="A6" s="89"/>
      <c r="B6" s="8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</row>
    <row r="7" spans="1:52" ht="21" x14ac:dyDescent="0.35">
      <c r="A7" s="89" t="s">
        <v>92</v>
      </c>
      <c r="B7" s="139">
        <f>100-C7-D7-E7-F7-G7-H7-I7-J7-K7-L7-M7-N7-O7-P7-Q7-R7-S7-T7-U7-V7-W7-X7-Y7-Z7</f>
        <v>101.52608031031072</v>
      </c>
      <c r="C7" s="156">
        <f>C2-D4-E4-F4</f>
        <v>-1.3390140731654472</v>
      </c>
      <c r="D7" s="156">
        <f>D2</f>
        <v>0</v>
      </c>
      <c r="E7" s="156"/>
      <c r="F7" s="156"/>
      <c r="G7" s="156">
        <f>G2-H4-I4-J4-K4</f>
        <v>-2.2135726422297549E-2</v>
      </c>
      <c r="H7" s="156"/>
      <c r="I7" s="156"/>
      <c r="J7" s="156"/>
      <c r="K7" s="156"/>
      <c r="L7" s="156">
        <f>L2</f>
        <v>0</v>
      </c>
      <c r="M7" s="156">
        <f>M2-P4-Q4-R4-S4-T4-U4-V4-W4-X4-Y4-Z4</f>
        <v>-5.6100920468972061E-2</v>
      </c>
      <c r="N7" s="156">
        <f>N2-O4</f>
        <v>-0.10882959025400381</v>
      </c>
      <c r="O7" s="156"/>
      <c r="P7" s="156"/>
      <c r="Q7" s="177"/>
      <c r="R7" s="177"/>
      <c r="S7" s="177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</row>
    <row r="8" spans="1:52" ht="21" x14ac:dyDescent="0.35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</row>
    <row r="9" spans="1:52" ht="21" x14ac:dyDescent="0.35">
      <c r="A9" s="89"/>
      <c r="B9" s="89"/>
      <c r="C9" s="89"/>
      <c r="D9" s="89"/>
      <c r="E9" s="89"/>
      <c r="F9" s="89" t="s">
        <v>7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</row>
    <row r="10" spans="1:52" ht="21" x14ac:dyDescent="0.35">
      <c r="A10" s="89" t="s">
        <v>32</v>
      </c>
      <c r="B10" s="180"/>
      <c r="C10" s="180"/>
      <c r="D10" s="89"/>
      <c r="E10" s="180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</row>
    <row r="11" spans="1:52" ht="21" x14ac:dyDescent="0.35">
      <c r="A11" s="89" t="s">
        <v>33</v>
      </c>
      <c r="B11" s="181"/>
      <c r="C11" s="181"/>
      <c r="D11" s="89"/>
      <c r="E11" s="181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</row>
    <row r="12" spans="1:52" ht="21" x14ac:dyDescent="0.35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</row>
    <row r="13" spans="1:52" ht="21" x14ac:dyDescent="0.35">
      <c r="A13" s="89"/>
      <c r="B13" s="89" t="s">
        <v>14</v>
      </c>
      <c r="C13" s="180" t="s">
        <v>56</v>
      </c>
      <c r="D13" s="180" t="s">
        <v>15</v>
      </c>
      <c r="E13" s="181" t="s">
        <v>8</v>
      </c>
      <c r="F13" s="180" t="s">
        <v>9</v>
      </c>
      <c r="G13" s="180" t="s">
        <v>57</v>
      </c>
      <c r="H13" s="181" t="s">
        <v>58</v>
      </c>
      <c r="I13" s="180" t="s">
        <v>77</v>
      </c>
      <c r="J13" s="181" t="s">
        <v>13</v>
      </c>
      <c r="K13" s="180" t="s">
        <v>16</v>
      </c>
      <c r="L13" s="180" t="s">
        <v>55</v>
      </c>
      <c r="M13" s="181" t="s">
        <v>44</v>
      </c>
      <c r="N13" s="181" t="s">
        <v>10</v>
      </c>
      <c r="O13" s="180" t="s">
        <v>12</v>
      </c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</row>
    <row r="14" spans="1:52" ht="21" x14ac:dyDescent="0.35">
      <c r="A14" s="89" t="s">
        <v>39</v>
      </c>
      <c r="B14" s="89">
        <f>100-(C14+D14+E14+F14+G14+H14+I14+J14+K14+L14+M14+N14+O14)</f>
        <v>99.549077957567704</v>
      </c>
      <c r="C14" s="89">
        <f>C5-C1</f>
        <v>0</v>
      </c>
      <c r="D14" s="89">
        <f>D5-D1</f>
        <v>-1.3390140731654472</v>
      </c>
      <c r="E14" s="89">
        <f t="shared" ref="E14:I14" si="1">E5</f>
        <v>0</v>
      </c>
      <c r="F14" s="89">
        <f t="shared" si="1"/>
        <v>0</v>
      </c>
      <c r="G14" s="89">
        <f t="shared" si="1"/>
        <v>2.2135726422297549E-2</v>
      </c>
      <c r="H14" s="89">
        <f t="shared" si="1"/>
        <v>0</v>
      </c>
      <c r="I14" s="89">
        <f t="shared" si="1"/>
        <v>0</v>
      </c>
      <c r="J14" s="89">
        <f>J5-J1</f>
        <v>0</v>
      </c>
      <c r="K14" s="89">
        <f>K5-K1</f>
        <v>0</v>
      </c>
      <c r="L14" s="89">
        <f t="shared" ref="L14:O14" si="2">L5</f>
        <v>1.6006086588236572</v>
      </c>
      <c r="M14" s="89">
        <f t="shared" si="2"/>
        <v>5.8362140097783906E-2</v>
      </c>
      <c r="N14" s="89">
        <f t="shared" si="2"/>
        <v>0.10882959025400381</v>
      </c>
      <c r="O14" s="89">
        <f t="shared" si="2"/>
        <v>0</v>
      </c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</row>
    <row r="15" spans="1:52" ht="21" x14ac:dyDescent="0.3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</row>
    <row r="16" spans="1:52" ht="21" x14ac:dyDescent="0.3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</row>
    <row r="17" spans="1:52" ht="21" x14ac:dyDescent="0.35">
      <c r="A17" s="89"/>
      <c r="B17" s="210" t="s">
        <v>14</v>
      </c>
      <c r="C17" s="210" t="s">
        <v>15</v>
      </c>
      <c r="D17" s="210" t="s">
        <v>8</v>
      </c>
      <c r="E17" s="210" t="s">
        <v>9</v>
      </c>
      <c r="F17" s="210" t="s">
        <v>234</v>
      </c>
      <c r="G17" s="210" t="s">
        <v>56</v>
      </c>
      <c r="H17" s="210" t="s">
        <v>57</v>
      </c>
      <c r="I17" s="210" t="s">
        <v>58</v>
      </c>
      <c r="J17" s="210" t="s">
        <v>77</v>
      </c>
      <c r="K17" s="210" t="s">
        <v>204</v>
      </c>
      <c r="L17" s="210" t="s">
        <v>16</v>
      </c>
      <c r="M17" s="210" t="s">
        <v>12</v>
      </c>
      <c r="N17" s="210" t="s">
        <v>44</v>
      </c>
      <c r="O17" s="210" t="s">
        <v>55</v>
      </c>
      <c r="P17" s="210" t="s">
        <v>17</v>
      </c>
      <c r="Q17" s="210" t="s">
        <v>80</v>
      </c>
      <c r="R17" s="210" t="s">
        <v>81</v>
      </c>
      <c r="S17" s="210" t="s">
        <v>82</v>
      </c>
      <c r="T17" s="210" t="s">
        <v>83</v>
      </c>
      <c r="U17" s="210" t="s">
        <v>45</v>
      </c>
      <c r="V17" s="210" t="s">
        <v>43</v>
      </c>
      <c r="W17" s="210" t="s">
        <v>13</v>
      </c>
      <c r="X17" s="210" t="s">
        <v>0</v>
      </c>
      <c r="Y17" s="210" t="s">
        <v>11</v>
      </c>
      <c r="Z17" s="210" t="s">
        <v>10</v>
      </c>
      <c r="AA17" s="211" t="s">
        <v>14</v>
      </c>
      <c r="AB17" s="212" t="s">
        <v>15</v>
      </c>
      <c r="AC17" s="213" t="s">
        <v>8</v>
      </c>
      <c r="AD17" s="214" t="s">
        <v>9</v>
      </c>
      <c r="AE17" s="213" t="s">
        <v>234</v>
      </c>
      <c r="AF17" s="213" t="s">
        <v>56</v>
      </c>
      <c r="AG17" s="214" t="s">
        <v>57</v>
      </c>
      <c r="AH17" s="213" t="s">
        <v>58</v>
      </c>
      <c r="AI17" s="215" t="s">
        <v>77</v>
      </c>
      <c r="AJ17" s="216" t="s">
        <v>204</v>
      </c>
      <c r="AK17" s="216" t="s">
        <v>16</v>
      </c>
      <c r="AL17" s="215" t="s">
        <v>12</v>
      </c>
      <c r="AM17" s="215" t="s">
        <v>44</v>
      </c>
      <c r="AN17" s="216" t="s">
        <v>55</v>
      </c>
      <c r="AO17" s="210" t="s">
        <v>17</v>
      </c>
      <c r="AP17" s="210" t="s">
        <v>80</v>
      </c>
      <c r="AQ17" s="210" t="s">
        <v>81</v>
      </c>
      <c r="AR17" s="210" t="s">
        <v>82</v>
      </c>
      <c r="AS17" s="210" t="s">
        <v>83</v>
      </c>
      <c r="AT17" s="210" t="s">
        <v>45</v>
      </c>
      <c r="AU17" s="210" t="s">
        <v>43</v>
      </c>
      <c r="AV17" s="210" t="s">
        <v>13</v>
      </c>
      <c r="AW17" s="210" t="s">
        <v>0</v>
      </c>
      <c r="AX17" s="210" t="s">
        <v>11</v>
      </c>
      <c r="AY17" s="210" t="s">
        <v>10</v>
      </c>
      <c r="AZ17" s="89"/>
    </row>
    <row r="18" spans="1:52" ht="21" x14ac:dyDescent="0.35">
      <c r="A18" s="89"/>
      <c r="B18" s="217">
        <f>100-C18-D18-E18-F18-G18-H18-I18-J18-K18-L18-M18-N18-O18-P18-Q18-R18-S18-T18-U18-V18-W18-X18-Y18-Z18</f>
        <v>100</v>
      </c>
      <c r="C18" s="218">
        <f>C7</f>
        <v>-1.3390140731654472</v>
      </c>
      <c r="D18" s="218">
        <f t="shared" ref="D18:Z18" si="3">D4</f>
        <v>1.3390140731654472</v>
      </c>
      <c r="E18" s="218">
        <f t="shared" si="3"/>
        <v>0</v>
      </c>
      <c r="F18" s="218">
        <f t="shared" si="3"/>
        <v>0</v>
      </c>
      <c r="G18" s="218">
        <f>G7</f>
        <v>-2.2135726422297549E-2</v>
      </c>
      <c r="H18" s="218">
        <f t="shared" si="3"/>
        <v>8.8718546811123438E-3</v>
      </c>
      <c r="I18" s="218">
        <f t="shared" si="3"/>
        <v>1.7139854382745025E-3</v>
      </c>
      <c r="J18" s="218">
        <f t="shared" si="3"/>
        <v>3.9237609914021089E-3</v>
      </c>
      <c r="K18" s="218">
        <f t="shared" si="3"/>
        <v>7.6261253115085933E-3</v>
      </c>
      <c r="L18" s="218">
        <f>L7</f>
        <v>0</v>
      </c>
      <c r="M18" s="218">
        <f>M7</f>
        <v>-5.6100920468972061E-2</v>
      </c>
      <c r="N18" s="218">
        <f>N7</f>
        <v>-0.10882959025400381</v>
      </c>
      <c r="O18" s="218">
        <f t="shared" si="3"/>
        <v>0.10882959025400381</v>
      </c>
      <c r="P18" s="218">
        <f t="shared" si="3"/>
        <v>0</v>
      </c>
      <c r="Q18" s="218">
        <f t="shared" si="3"/>
        <v>5.6100920468972061E-2</v>
      </c>
      <c r="R18" s="218">
        <f t="shared" si="3"/>
        <v>0</v>
      </c>
      <c r="S18" s="218">
        <f t="shared" si="3"/>
        <v>0</v>
      </c>
      <c r="T18" s="218">
        <f t="shared" si="3"/>
        <v>0</v>
      </c>
      <c r="U18" s="218">
        <f t="shared" si="3"/>
        <v>0</v>
      </c>
      <c r="V18" s="218">
        <f t="shared" si="3"/>
        <v>0</v>
      </c>
      <c r="W18" s="218">
        <f t="shared" si="3"/>
        <v>0</v>
      </c>
      <c r="X18" s="218">
        <f t="shared" si="3"/>
        <v>0</v>
      </c>
      <c r="Y18" s="218">
        <f t="shared" si="3"/>
        <v>0</v>
      </c>
      <c r="Z18" s="218">
        <f t="shared" si="3"/>
        <v>0</v>
      </c>
      <c r="AA18" s="219">
        <v>55.84</v>
      </c>
      <c r="AB18" s="219">
        <v>28.0855</v>
      </c>
      <c r="AC18" s="219">
        <v>58.693399999999997</v>
      </c>
      <c r="AD18" s="219">
        <v>63.545999999999999</v>
      </c>
      <c r="AE18" s="219">
        <v>65.38</v>
      </c>
      <c r="AF18" s="219">
        <v>12.01</v>
      </c>
      <c r="AG18" s="219">
        <v>30.973762000000001</v>
      </c>
      <c r="AH18" s="219">
        <v>32.064999999999998</v>
      </c>
      <c r="AI18" s="219">
        <v>14.0067</v>
      </c>
      <c r="AJ18" s="219">
        <v>10.81</v>
      </c>
      <c r="AK18" s="219">
        <v>54.938043999999998</v>
      </c>
      <c r="AL18" s="219">
        <v>26.981539999999999</v>
      </c>
      <c r="AM18" s="219">
        <v>51.996099999999998</v>
      </c>
      <c r="AN18" s="219">
        <v>95.95</v>
      </c>
      <c r="AO18" s="220">
        <v>47.866999999999997</v>
      </c>
      <c r="AP18" s="220">
        <v>50.941499999999998</v>
      </c>
      <c r="AQ18" s="220">
        <v>92.906369999999995</v>
      </c>
      <c r="AR18" s="220">
        <v>183.84</v>
      </c>
      <c r="AS18" s="220">
        <v>180.94788</v>
      </c>
      <c r="AT18" s="220">
        <v>91.224000000000004</v>
      </c>
      <c r="AU18" s="220">
        <v>58.933194999999998</v>
      </c>
      <c r="AV18" s="220">
        <v>24.305</v>
      </c>
      <c r="AW18" s="219">
        <v>121.76</v>
      </c>
      <c r="AX18" s="219">
        <v>207.2</v>
      </c>
      <c r="AY18" s="219">
        <v>118.71</v>
      </c>
      <c r="AZ18" s="89"/>
    </row>
    <row r="19" spans="1:52" ht="21" x14ac:dyDescent="0.35">
      <c r="A19" s="89"/>
      <c r="B19" s="217">
        <f>100*((((B18)*(AA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99.159816415528454</v>
      </c>
      <c r="C19" s="217">
        <f>100*((((C18)*(AB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-0.66781720848103243</v>
      </c>
      <c r="D19" s="217">
        <f>100*((((D18)*(AC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1.3956120611796345</v>
      </c>
      <c r="E19" s="217">
        <f>100*((((E18)*(AD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F19" s="217">
        <f>100*((((F18)*(AE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G19" s="217">
        <f>100*((((G18)*(AF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-4.720924886245567E-3</v>
      </c>
      <c r="H19" s="217">
        <f>100*((((H18)*(AG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4.879762451677044E-3</v>
      </c>
      <c r="I19" s="217">
        <f>100*((((I18)*(AH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9.7595249033540865E-4</v>
      </c>
      <c r="J19" s="217">
        <f>100*((((J18)*(AI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9.7595249033540865E-4</v>
      </c>
      <c r="K19" s="217">
        <f>100*((((K18)*(AJ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1.4639287355031135E-3</v>
      </c>
      <c r="L19" s="217">
        <f>100*((((L18)*(AK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M19" s="217">
        <f>100*((((M18)*(AL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-2.6879861411940972E-2</v>
      </c>
      <c r="N19" s="217">
        <f>100*((((N18)*(AM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-0.10048658075787908</v>
      </c>
      <c r="O19" s="217">
        <f>100*((((O18)*(AN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0.18543097316372764</v>
      </c>
      <c r="P19" s="217">
        <f>100*((((P18)*(AO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Q19" s="217">
        <f>100*((((Q18)*(AP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5.0749529497441256E-2</v>
      </c>
      <c r="R19" s="217">
        <f>100*((((R18)*(AQ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S19" s="217">
        <f>100*((((S18)*(AR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T19" s="217">
        <f>100*((((T18)*(AS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U19" s="217">
        <f>100*((((U18)*(AT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V19" s="217">
        <f>100*((((V18)*(AU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W19" s="217">
        <f>100*((((W18)*(AV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X19" s="219">
        <f>100*((((X18)*(AW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Y19" s="219">
        <f>100*((((Y18)*(AX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Z19" s="219">
        <f>100*((((Z18)*(AY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89"/>
    </row>
    <row r="20" spans="1:52" ht="21" x14ac:dyDescent="0.35">
      <c r="A20" s="89"/>
      <c r="B20" s="89"/>
      <c r="C20" s="89"/>
      <c r="D20" s="89"/>
      <c r="E20" s="89" t="e">
        <f>E19/'opt 10'!G6</f>
        <v>#DIV/0!</v>
      </c>
      <c r="F20" s="89" t="e">
        <f>F19/'opt 10'!G6</f>
        <v>#DIV/0!</v>
      </c>
      <c r="G20" s="89" t="e">
        <f>G19/'opt 10'!G6</f>
        <v>#DIV/0!</v>
      </c>
      <c r="H20" s="89" t="e">
        <f>H19/'opt 10'!G6</f>
        <v>#DIV/0!</v>
      </c>
      <c r="I20" s="89" t="e">
        <f>I19/'opt 10'!G6</f>
        <v>#DIV/0!</v>
      </c>
      <c r="J20" s="89"/>
      <c r="K20" s="89"/>
      <c r="L20" s="89" t="e">
        <f>L19/'opt 10'!G6</f>
        <v>#DIV/0!</v>
      </c>
      <c r="M20" s="89" t="e">
        <f>M19/'opt 10'!G6</f>
        <v>#DIV/0!</v>
      </c>
      <c r="N20" s="89" t="e">
        <f>N19/'opt 10'!G6</f>
        <v>#DIV/0!</v>
      </c>
      <c r="O20" s="89" t="e">
        <f>O19/'opt 10'!G6</f>
        <v>#DIV/0!</v>
      </c>
      <c r="P20" s="89" t="e">
        <f>P19/'opt 10'!G6</f>
        <v>#DIV/0!</v>
      </c>
      <c r="Q20" s="89" t="e">
        <f>Q19/'opt 10'!G6</f>
        <v>#DIV/0!</v>
      </c>
      <c r="R20" s="89" t="e">
        <f>R19/'opt 10'!G6</f>
        <v>#DIV/0!</v>
      </c>
      <c r="S20" s="89" t="e">
        <f>S19/'opt 10'!G6</f>
        <v>#DIV/0!</v>
      </c>
      <c r="T20" s="89" t="e">
        <f>T19/'opt 10'!G6</f>
        <v>#DIV/0!</v>
      </c>
      <c r="U20" s="89" t="e">
        <f>U19/'opt 10'!G6</f>
        <v>#DIV/0!</v>
      </c>
      <c r="V20" s="89" t="e">
        <f>V19/'opt 10'!G6</f>
        <v>#DIV/0!</v>
      </c>
      <c r="W20" s="89" t="e">
        <f>W19/'opt 10'!G6</f>
        <v>#DIV/0!</v>
      </c>
      <c r="X20" s="89" t="e">
        <f>X19/'opt 10'!G6</f>
        <v>#DIV/0!</v>
      </c>
      <c r="Y20" s="89" t="e">
        <f>Y19/'opt 10'!G6</f>
        <v>#DIV/0!</v>
      </c>
      <c r="Z20" s="89" t="e">
        <f>Z19/'opt 10'!G6</f>
        <v>#DIV/0!</v>
      </c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</row>
    <row r="21" spans="1:52" ht="21" x14ac:dyDescent="0.3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</row>
    <row r="22" spans="1:52" ht="21" x14ac:dyDescent="0.3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</row>
    <row r="23" spans="1:52" ht="21" x14ac:dyDescent="0.3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</row>
  </sheetData>
  <pageMargins left="0.7" right="0.7" top="0.75" bottom="0.75" header="0.3" footer="0.3"/>
  <pageSetup paperSize="9" orientation="portrait" verticalDpi="597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2396-D539-4D6A-A2F1-824FF23F357E}">
  <dimension ref="A1:AX4"/>
  <sheetViews>
    <sheetView zoomScale="86" zoomScaleNormal="86" workbookViewId="0">
      <selection activeCell="J19" sqref="J19"/>
    </sheetView>
  </sheetViews>
  <sheetFormatPr baseColWidth="10" defaultRowHeight="15" x14ac:dyDescent="0.25"/>
  <cols>
    <col min="2" max="2" width="14.42578125" customWidth="1"/>
    <col min="3" max="3" width="16.28515625" customWidth="1"/>
  </cols>
  <sheetData>
    <row r="1" spans="1:50" ht="18" x14ac:dyDescent="0.25">
      <c r="A1" s="210" t="s">
        <v>14</v>
      </c>
      <c r="B1" s="210" t="s">
        <v>15</v>
      </c>
      <c r="C1" s="210" t="s">
        <v>8</v>
      </c>
      <c r="D1" s="210" t="s">
        <v>9</v>
      </c>
      <c r="E1" s="210" t="s">
        <v>234</v>
      </c>
      <c r="F1" s="210" t="s">
        <v>56</v>
      </c>
      <c r="G1" s="210" t="s">
        <v>57</v>
      </c>
      <c r="H1" s="210" t="s">
        <v>58</v>
      </c>
      <c r="I1" s="210" t="s">
        <v>77</v>
      </c>
      <c r="J1" s="210" t="s">
        <v>204</v>
      </c>
      <c r="K1" s="210" t="s">
        <v>16</v>
      </c>
      <c r="L1" s="210" t="s">
        <v>12</v>
      </c>
      <c r="M1" s="210" t="s">
        <v>44</v>
      </c>
      <c r="N1" s="210" t="s">
        <v>55</v>
      </c>
      <c r="O1" s="210" t="s">
        <v>17</v>
      </c>
      <c r="P1" s="210" t="s">
        <v>80</v>
      </c>
      <c r="Q1" s="210" t="s">
        <v>81</v>
      </c>
      <c r="R1" s="210" t="s">
        <v>82</v>
      </c>
      <c r="S1" s="210" t="s">
        <v>83</v>
      </c>
      <c r="T1" s="210" t="s">
        <v>45</v>
      </c>
      <c r="U1" s="210" t="s">
        <v>43</v>
      </c>
      <c r="V1" s="210" t="s">
        <v>13</v>
      </c>
      <c r="W1" s="210" t="s">
        <v>0</v>
      </c>
      <c r="X1" s="210" t="s">
        <v>11</v>
      </c>
      <c r="Y1" s="210" t="s">
        <v>10</v>
      </c>
      <c r="Z1" s="210" t="s">
        <v>14</v>
      </c>
      <c r="AA1" s="210" t="s">
        <v>15</v>
      </c>
      <c r="AB1" s="210" t="s">
        <v>8</v>
      </c>
      <c r="AC1" s="210" t="s">
        <v>9</v>
      </c>
      <c r="AD1" s="210" t="s">
        <v>234</v>
      </c>
      <c r="AE1" s="210" t="s">
        <v>56</v>
      </c>
      <c r="AF1" s="210" t="s">
        <v>57</v>
      </c>
      <c r="AG1" s="210" t="s">
        <v>58</v>
      </c>
      <c r="AH1" s="210" t="s">
        <v>77</v>
      </c>
      <c r="AI1" s="210" t="s">
        <v>204</v>
      </c>
      <c r="AJ1" s="210" t="s">
        <v>16</v>
      </c>
      <c r="AK1" s="210" t="s">
        <v>12</v>
      </c>
      <c r="AL1" s="210" t="s">
        <v>44</v>
      </c>
      <c r="AM1" s="210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13</v>
      </c>
      <c r="AV1" s="210" t="s">
        <v>0</v>
      </c>
      <c r="AW1" s="210" t="s">
        <v>11</v>
      </c>
      <c r="AX1" s="210" t="s">
        <v>10</v>
      </c>
    </row>
    <row r="2" spans="1:50" ht="23.25" x14ac:dyDescent="0.35">
      <c r="A2" s="36">
        <f>100-B2-C2-D2-E2-F2-G2-H2-I2-J2-K2-L2-M2-N2-O2-P2-Q2-R2-S2-T2-U2-V2-W2-X2-Y2</f>
        <v>100</v>
      </c>
      <c r="B2" s="71">
        <f>'1.0330_3'!C13</f>
        <v>0</v>
      </c>
      <c r="C2" s="71">
        <f>'1.0330_3'!D13</f>
        <v>0</v>
      </c>
      <c r="D2" s="71">
        <f>'1.0330_3'!E13</f>
        <v>0</v>
      </c>
      <c r="E2" s="71">
        <f>'1.0330_3'!F13</f>
        <v>0</v>
      </c>
      <c r="F2" s="71">
        <f>'1.0330_3'!G13</f>
        <v>0</v>
      </c>
      <c r="G2" s="71">
        <f>'1.0330_3'!H13</f>
        <v>0</v>
      </c>
      <c r="H2" s="71">
        <f>'1.0330_3'!I13</f>
        <v>0</v>
      </c>
      <c r="I2" s="71">
        <f>'1.0330_3'!J13</f>
        <v>0</v>
      </c>
      <c r="J2" s="71">
        <f>'1.0330_3'!K13</f>
        <v>0</v>
      </c>
      <c r="K2" s="71">
        <f>'1.0330_3'!L13</f>
        <v>0</v>
      </c>
      <c r="L2" s="71">
        <f>'1.0330_3'!M13</f>
        <v>0</v>
      </c>
      <c r="M2" s="71">
        <f>'1.0330_3'!N13</f>
        <v>0</v>
      </c>
      <c r="N2" s="71">
        <f>'1.0330_3'!O13</f>
        <v>0</v>
      </c>
      <c r="O2" s="71">
        <f>'1.0330_3'!P13</f>
        <v>0</v>
      </c>
      <c r="P2" s="71">
        <f>'1.0330_3'!Q13</f>
        <v>0</v>
      </c>
      <c r="Q2" s="71">
        <f>'1.0330_3'!R13</f>
        <v>0</v>
      </c>
      <c r="R2" s="71">
        <f>'1.0330_3'!S13</f>
        <v>0</v>
      </c>
      <c r="S2" s="71">
        <f>'1.0330_3'!T13</f>
        <v>0</v>
      </c>
      <c r="T2" s="71">
        <f>'1.0330_3'!U13</f>
        <v>0</v>
      </c>
      <c r="U2" s="71">
        <f>'1.0330_3'!V13</f>
        <v>0</v>
      </c>
      <c r="V2" s="71">
        <f>'1.0330_3'!W13</f>
        <v>0</v>
      </c>
      <c r="W2" s="71">
        <f>'1.0330_3'!X13</f>
        <v>0</v>
      </c>
      <c r="X2" s="71">
        <f>'1.0330_3'!Y13</f>
        <v>0</v>
      </c>
      <c r="Y2" s="71">
        <f>'1.0330_3'!Z13</f>
        <v>0</v>
      </c>
      <c r="Z2" s="68">
        <v>55.84</v>
      </c>
      <c r="AA2" s="7">
        <v>28.0855</v>
      </c>
      <c r="AB2" s="7">
        <v>58.693399999999997</v>
      </c>
      <c r="AC2" s="7">
        <v>63.545999999999999</v>
      </c>
      <c r="AD2" s="7">
        <v>65.38</v>
      </c>
      <c r="AE2" s="7">
        <v>12.01</v>
      </c>
      <c r="AF2" s="7">
        <v>30.973762000000001</v>
      </c>
      <c r="AG2" s="7">
        <v>32.064999999999998</v>
      </c>
      <c r="AH2" s="7">
        <v>14.0067</v>
      </c>
      <c r="AI2" s="7">
        <v>10.81</v>
      </c>
      <c r="AJ2" s="7">
        <v>54.938043999999998</v>
      </c>
      <c r="AK2" s="7">
        <v>26.981539999999999</v>
      </c>
      <c r="AL2" s="7">
        <v>51.996099999999998</v>
      </c>
      <c r="AM2" s="7">
        <v>95.95</v>
      </c>
      <c r="AN2">
        <v>47.866999999999997</v>
      </c>
      <c r="AO2">
        <v>50.941499999999998</v>
      </c>
      <c r="AP2">
        <v>92.906369999999995</v>
      </c>
      <c r="AQ2">
        <v>183.84</v>
      </c>
      <c r="AR2">
        <v>180.94788</v>
      </c>
      <c r="AS2">
        <v>91.224000000000004</v>
      </c>
      <c r="AT2">
        <v>58.933194999999998</v>
      </c>
      <c r="AU2">
        <v>24.305</v>
      </c>
      <c r="AV2" s="7">
        <v>121.76</v>
      </c>
      <c r="AW2" s="7">
        <v>207.2</v>
      </c>
      <c r="AX2" s="7">
        <v>118.71</v>
      </c>
    </row>
    <row r="3" spans="1:50" ht="18.75" x14ac:dyDescent="0.3">
      <c r="A3" s="36">
        <f>100*((((A2)*(Z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100</v>
      </c>
      <c r="B3" s="36">
        <f>100*((((B2)*(AA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C3" s="36">
        <f>100*((((C2)*(AB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D3" s="36">
        <f>100*((((D2)*(AC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E3" s="36">
        <f>100*((((E2)*(AD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F3" s="36">
        <f>100*((((F2)*(AE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G3" s="36">
        <f>100*((((G2)*(AF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H3" s="36">
        <f>100*((((H2)*(AG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I3" s="36">
        <f>100*((((I2)*(AH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J3" s="36">
        <f>100*((((J2)*(AI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K3" s="36">
        <f>100*((((K2)*(AJ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L3" s="36">
        <f>100*((((L2)*(AK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M3" s="36">
        <f>100*((((M2)*(AL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N3" s="36">
        <f>100*((((N2)*(AM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W2))+((X2)/(AW2))+((Y2)/(AX2)))))</f>
        <v>0</v>
      </c>
      <c r="P3" s="36">
        <f>100*((((P2)*(AO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Q3" s="36">
        <f>100*((((Q2)*(AP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R3" s="36">
        <f>100*((((R2)*(AQ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S3" s="36">
        <f>100*((((S2)*(AR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T3" s="36">
        <f>100*((((T2)*(AS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U3" s="36">
        <f>100*((((U2)*(AT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V3" s="36">
        <f>100*((((V2)*(AU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W3" s="7">
        <f>100*((((W2)*(AV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X3" s="7">
        <f>100*((((X2)*(AW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Y3" s="7">
        <f>100*((((Y2)*(AX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Z3" s="68">
        <v>55.84</v>
      </c>
      <c r="AA3" s="7">
        <v>95.94</v>
      </c>
      <c r="AB3" s="7">
        <v>183.85</v>
      </c>
      <c r="AC3" s="7">
        <v>58.933199999999999</v>
      </c>
      <c r="AD3" s="7">
        <v>63.54</v>
      </c>
      <c r="AE3" s="7">
        <v>12.01</v>
      </c>
      <c r="AF3" s="7">
        <v>28.085000000000001</v>
      </c>
      <c r="AG3" s="7">
        <v>47.88</v>
      </c>
      <c r="AH3" s="7">
        <v>58.692999999999998</v>
      </c>
      <c r="AI3" s="7">
        <v>51.99</v>
      </c>
      <c r="AJ3" s="7">
        <v>54.93</v>
      </c>
      <c r="AK3" s="7">
        <v>92.9</v>
      </c>
      <c r="AL3" s="7">
        <v>14.0067</v>
      </c>
      <c r="AM3" s="7">
        <v>26.981539999999999</v>
      </c>
    </row>
    <row r="4" spans="1:50" ht="15.75" x14ac:dyDescent="0.25">
      <c r="A4" s="8"/>
      <c r="B4" s="9"/>
    </row>
  </sheetData>
  <pageMargins left="0.7" right="0.7" top="0.78740157499999996" bottom="0.78740157499999996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7835B-A8D8-46A5-B5AB-B09265385918}">
  <dimension ref="A1:AZ28"/>
  <sheetViews>
    <sheetView zoomScale="89" zoomScaleNormal="89" workbookViewId="0">
      <selection activeCell="C5" sqref="C5:R7"/>
    </sheetView>
  </sheetViews>
  <sheetFormatPr baseColWidth="10" defaultColWidth="8.7109375" defaultRowHeight="15" x14ac:dyDescent="0.25"/>
  <cols>
    <col min="1" max="1" width="24.42578125" customWidth="1"/>
    <col min="2" max="2" width="16.5703125" customWidth="1"/>
    <col min="3" max="3" width="13.5703125" customWidth="1"/>
    <col min="4" max="4" width="8.28515625" customWidth="1"/>
    <col min="5" max="6" width="6.140625" customWidth="1"/>
    <col min="7" max="7" width="5.7109375" customWidth="1"/>
    <col min="8" max="8" width="6.5703125" customWidth="1"/>
    <col min="9" max="9" width="9.42578125" customWidth="1"/>
    <col min="10" max="11" width="12.7109375" customWidth="1"/>
    <col min="12" max="13" width="6" customWidth="1"/>
    <col min="14" max="14" width="5.85546875" customWidth="1"/>
    <col min="15" max="15" width="8.28515625" customWidth="1"/>
    <col min="16" max="26" width="13" bestFit="1" customWidth="1"/>
  </cols>
  <sheetData>
    <row r="1" spans="1:52" ht="21" x14ac:dyDescent="0.35">
      <c r="A1" s="89" t="s">
        <v>34</v>
      </c>
      <c r="B1" s="89"/>
      <c r="C1" s="89" t="e">
        <f>C5-C2</f>
        <v>#DIV/0!</v>
      </c>
      <c r="D1" s="89" t="e">
        <f>D4-D2</f>
        <v>#DIV/0!</v>
      </c>
      <c r="E1" s="89">
        <f>E2-E5</f>
        <v>0</v>
      </c>
      <c r="F1" s="89" t="e">
        <f>F4-F2</f>
        <v>#DIV/0!</v>
      </c>
      <c r="G1" s="89" t="e">
        <f t="shared" ref="G1:O1" si="0">G4-G2</f>
        <v>#DIV/0!</v>
      </c>
      <c r="H1" s="89" t="e">
        <f t="shared" si="0"/>
        <v>#DIV/0!</v>
      </c>
      <c r="I1" s="89" t="e">
        <f>I4-I2</f>
        <v>#DIV/0!</v>
      </c>
      <c r="J1" s="89">
        <f>J5-J2</f>
        <v>0</v>
      </c>
      <c r="K1" s="89">
        <f>K5-K2</f>
        <v>0</v>
      </c>
      <c r="L1" s="89" t="e">
        <f t="shared" si="0"/>
        <v>#DIV/0!</v>
      </c>
      <c r="M1" s="89" t="e">
        <f t="shared" si="0"/>
        <v>#DIV/0!</v>
      </c>
      <c r="N1" s="89" t="e">
        <f t="shared" si="0"/>
        <v>#DIV/0!</v>
      </c>
      <c r="O1" s="89" t="e">
        <f t="shared" si="0"/>
        <v>#DIV/0!</v>
      </c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</row>
    <row r="2" spans="1:52" ht="21" x14ac:dyDescent="0.35">
      <c r="A2" s="89" t="s">
        <v>37</v>
      </c>
      <c r="B2" s="138">
        <f>100-C2-D2-E2-F2-G2-H2-I2-J2-K2-L2-M2-N2-O2</f>
        <v>100</v>
      </c>
      <c r="C2" s="89">
        <f>'1.0330_3'!C14</f>
        <v>0</v>
      </c>
      <c r="D2" s="89">
        <f>'1.0330_3'!D14</f>
        <v>0</v>
      </c>
      <c r="E2" s="89">
        <f>'1.0330_3'!E14</f>
        <v>0</v>
      </c>
      <c r="F2" s="89">
        <f>'1.0330_3'!F14</f>
        <v>0</v>
      </c>
      <c r="G2" s="89">
        <f>'1.0330_3'!G14</f>
        <v>0</v>
      </c>
      <c r="H2" s="89">
        <f>'1.0330_3'!H14</f>
        <v>0</v>
      </c>
      <c r="I2" s="89">
        <f>'1.0330_3'!I14</f>
        <v>0</v>
      </c>
      <c r="J2" s="89">
        <f>'1.0330_3'!J14</f>
        <v>0</v>
      </c>
      <c r="K2" s="89">
        <f>'1.0330_3'!K14</f>
        <v>0</v>
      </c>
      <c r="L2" s="89">
        <f>'1.0330_3'!L14</f>
        <v>0</v>
      </c>
      <c r="M2" s="89">
        <f>'1.0330_3'!M14</f>
        <v>0</v>
      </c>
      <c r="N2" s="89">
        <f>'1.0330_3'!N14</f>
        <v>0</v>
      </c>
      <c r="O2" s="89">
        <f>'1.0330_3'!O14</f>
        <v>0</v>
      </c>
      <c r="P2" s="89">
        <f>'1.0330_3'!P14</f>
        <v>0</v>
      </c>
      <c r="Q2" s="89">
        <f>'1.0330_3'!Q14</f>
        <v>0</v>
      </c>
      <c r="R2" s="89">
        <f>'1.0330_3'!R14</f>
        <v>0</v>
      </c>
      <c r="S2" s="89">
        <f>'1.0330_3'!S14</f>
        <v>0</v>
      </c>
      <c r="T2" s="89">
        <f>'1.0330_3'!T14</f>
        <v>0</v>
      </c>
      <c r="U2" s="89">
        <f>'1.0330_3'!U14</f>
        <v>0</v>
      </c>
      <c r="V2" s="89">
        <f>'1.0330_3'!V14</f>
        <v>0</v>
      </c>
      <c r="W2" s="89">
        <f>'1.0330_3'!W14</f>
        <v>0</v>
      </c>
      <c r="X2" s="89">
        <f>'1.0330_3'!X14</f>
        <v>0</v>
      </c>
      <c r="Y2" s="89">
        <f>'1.0330_3'!Y14</f>
        <v>0</v>
      </c>
      <c r="Z2" s="89">
        <f>'1.0330_3'!Z14</f>
        <v>0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</row>
    <row r="3" spans="1:52" ht="21" x14ac:dyDescent="0.35">
      <c r="A3" s="89"/>
      <c r="B3" s="210" t="s">
        <v>14</v>
      </c>
      <c r="C3" s="210" t="s">
        <v>15</v>
      </c>
      <c r="D3" s="210" t="s">
        <v>8</v>
      </c>
      <c r="E3" s="210" t="s">
        <v>9</v>
      </c>
      <c r="F3" s="210" t="s">
        <v>234</v>
      </c>
      <c r="G3" s="210" t="s">
        <v>56</v>
      </c>
      <c r="H3" s="210" t="s">
        <v>57</v>
      </c>
      <c r="I3" s="210" t="s">
        <v>58</v>
      </c>
      <c r="J3" s="210" t="s">
        <v>77</v>
      </c>
      <c r="K3" s="210" t="s">
        <v>204</v>
      </c>
      <c r="L3" s="210" t="s">
        <v>16</v>
      </c>
      <c r="M3" s="210" t="s">
        <v>12</v>
      </c>
      <c r="N3" s="210" t="s">
        <v>44</v>
      </c>
      <c r="O3" s="210" t="s">
        <v>55</v>
      </c>
      <c r="P3" s="210" t="s">
        <v>17</v>
      </c>
      <c r="Q3" s="210" t="s">
        <v>80</v>
      </c>
      <c r="R3" s="210" t="s">
        <v>81</v>
      </c>
      <c r="S3" s="210" t="s">
        <v>82</v>
      </c>
      <c r="T3" s="210" t="s">
        <v>83</v>
      </c>
      <c r="U3" s="210" t="s">
        <v>45</v>
      </c>
      <c r="V3" s="210" t="s">
        <v>43</v>
      </c>
      <c r="W3" s="210" t="s">
        <v>13</v>
      </c>
      <c r="X3" s="210" t="s">
        <v>0</v>
      </c>
      <c r="Y3" s="210" t="s">
        <v>11</v>
      </c>
      <c r="Z3" s="210" t="s">
        <v>10</v>
      </c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</row>
    <row r="4" spans="1:52" ht="21" x14ac:dyDescent="0.35">
      <c r="A4" s="89" t="s">
        <v>35</v>
      </c>
      <c r="B4" s="89" t="e">
        <f>100-C4-D4-E4-F4-G4-H4-I4-J4-K4-L4-M4-N4-O4-P4-Q4-R4-S4-T4-U4-V4-W4-X4-Y4-Z4</f>
        <v>#DIV/0!</v>
      </c>
      <c r="C4" s="89" t="e">
        <f>'opt 11'!C37</f>
        <v>#DIV/0!</v>
      </c>
      <c r="D4" s="89" t="e">
        <f>'opt 11'!D37</f>
        <v>#DIV/0!</v>
      </c>
      <c r="E4" s="89" t="e">
        <f>'opt 11'!E37</f>
        <v>#DIV/0!</v>
      </c>
      <c r="F4" s="89" t="e">
        <f>'opt 11'!F37</f>
        <v>#DIV/0!</v>
      </c>
      <c r="G4" s="89" t="e">
        <f>'opt 11'!G37</f>
        <v>#DIV/0!</v>
      </c>
      <c r="H4" s="89" t="e">
        <f>'opt 11'!H37</f>
        <v>#DIV/0!</v>
      </c>
      <c r="I4" s="89" t="e">
        <f>'opt 11'!I37</f>
        <v>#DIV/0!</v>
      </c>
      <c r="J4" s="89" t="e">
        <f>'opt 11'!J37</f>
        <v>#DIV/0!</v>
      </c>
      <c r="K4" s="89" t="e">
        <f>'opt 11'!K37</f>
        <v>#DIV/0!</v>
      </c>
      <c r="L4" s="89" t="e">
        <f>'opt 11'!L37</f>
        <v>#DIV/0!</v>
      </c>
      <c r="M4" s="89" t="e">
        <f>'opt 11'!M37</f>
        <v>#DIV/0!</v>
      </c>
      <c r="N4" s="89" t="e">
        <f>'opt 11'!N37</f>
        <v>#DIV/0!</v>
      </c>
      <c r="O4" s="89" t="e">
        <f>'opt 11'!O37</f>
        <v>#DIV/0!</v>
      </c>
      <c r="P4" s="89" t="e">
        <f>'opt 11'!P37</f>
        <v>#DIV/0!</v>
      </c>
      <c r="Q4" s="89" t="e">
        <f>'opt 11'!Q37</f>
        <v>#DIV/0!</v>
      </c>
      <c r="R4" s="89" t="e">
        <f>'opt 11'!R37</f>
        <v>#DIV/0!</v>
      </c>
      <c r="S4" s="89" t="e">
        <f>'opt 11'!S37</f>
        <v>#DIV/0!</v>
      </c>
      <c r="T4" s="89" t="e">
        <f>'opt 11'!T37</f>
        <v>#DIV/0!</v>
      </c>
      <c r="U4" s="89" t="e">
        <f>'opt 11'!U37</f>
        <v>#DIV/0!</v>
      </c>
      <c r="V4" s="89" t="e">
        <f>'opt 11'!V37</f>
        <v>#DIV/0!</v>
      </c>
      <c r="W4" s="89" t="e">
        <f>'opt 11'!W37</f>
        <v>#DIV/0!</v>
      </c>
      <c r="X4" s="89" t="e">
        <f>'opt 11'!X37</f>
        <v>#DIV/0!</v>
      </c>
      <c r="Y4" s="89" t="e">
        <f>'opt 11'!Y37</f>
        <v>#DIV/0!</v>
      </c>
      <c r="Z4" s="89" t="e">
        <f>'opt 11'!Z37</f>
        <v>#DIV/0!</v>
      </c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</row>
    <row r="5" spans="1:52" ht="21" x14ac:dyDescent="0.35">
      <c r="A5" s="89" t="s">
        <v>36</v>
      </c>
      <c r="B5" s="89" t="e">
        <f>100-C5-D5-E5-F5-G5-H5-I5-J5-K5-L5-M5-N5-O5</f>
        <v>#DIV/0!</v>
      </c>
      <c r="C5" s="149" t="e">
        <f>C4</f>
        <v>#DIV/0!</v>
      </c>
      <c r="D5" s="158"/>
      <c r="E5" s="159"/>
      <c r="F5" s="159"/>
      <c r="G5" s="159" t="e">
        <f>G4+D4+E4+F4+H4+I4+J4+K4+M4+V4</f>
        <v>#DIV/0!</v>
      </c>
      <c r="H5" s="159"/>
      <c r="I5" s="159"/>
      <c r="J5" s="149"/>
      <c r="K5" s="149"/>
      <c r="L5" s="7" t="e">
        <f>L4</f>
        <v>#DIV/0!</v>
      </c>
      <c r="M5" s="7"/>
      <c r="N5" s="7" t="e">
        <f>N4+P4+Q4+R4+S4+T4+U4+W4+X4+Y4+Z4</f>
        <v>#DIV/0!</v>
      </c>
      <c r="O5" s="7" t="e">
        <f>O4</f>
        <v>#DIV/0!</v>
      </c>
      <c r="P5" s="7"/>
      <c r="Q5" s="7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</row>
    <row r="6" spans="1:52" ht="21" x14ac:dyDescent="0.35">
      <c r="A6" s="89"/>
      <c r="B6" s="8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</row>
    <row r="7" spans="1:52" ht="21" x14ac:dyDescent="0.35">
      <c r="A7" s="89" t="s">
        <v>92</v>
      </c>
      <c r="B7" s="139" t="e">
        <f>100-C7-D7-E7-F7-G7-H7-I7-J7-K7-L7-M7-N7-O7-P7-Q7-R7-S7-T7-U7-V7-W7-X7-Y7-Z7</f>
        <v>#DIV/0!</v>
      </c>
      <c r="C7" s="156">
        <f>C2</f>
        <v>0</v>
      </c>
      <c r="D7" s="156"/>
      <c r="E7" s="156"/>
      <c r="F7" s="156"/>
      <c r="G7" s="156" t="e">
        <f>G2-D4-E4-F4-H4-I4-J4-K4-M4-V4</f>
        <v>#DIV/0!</v>
      </c>
      <c r="H7" s="156"/>
      <c r="I7" s="156"/>
      <c r="J7" s="156"/>
      <c r="K7" s="156"/>
      <c r="L7" s="156">
        <f>L2</f>
        <v>0</v>
      </c>
      <c r="M7" s="156">
        <f>M2</f>
        <v>0</v>
      </c>
      <c r="N7" s="156" t="e">
        <f>N2-P4-Q4-R4-S4-T4-U4-W4-X4-Y4-Z4</f>
        <v>#DIV/0!</v>
      </c>
      <c r="O7" s="156"/>
      <c r="P7" s="156"/>
      <c r="Q7" s="156"/>
      <c r="R7" s="177"/>
      <c r="S7" s="177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</row>
    <row r="8" spans="1:52" ht="21" x14ac:dyDescent="0.35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</row>
    <row r="9" spans="1:52" ht="21" x14ac:dyDescent="0.35">
      <c r="A9" s="89"/>
      <c r="B9" s="89"/>
      <c r="C9" s="89"/>
      <c r="D9" s="89"/>
      <c r="E9" s="89"/>
      <c r="F9" s="89" t="s">
        <v>7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</row>
    <row r="10" spans="1:52" ht="21" x14ac:dyDescent="0.35">
      <c r="A10" s="89" t="s">
        <v>32</v>
      </c>
      <c r="B10" s="180"/>
      <c r="C10" s="180"/>
      <c r="D10" s="89"/>
      <c r="E10" s="180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</row>
    <row r="11" spans="1:52" ht="21" x14ac:dyDescent="0.35">
      <c r="A11" s="89" t="s">
        <v>33</v>
      </c>
      <c r="B11" s="181"/>
      <c r="C11" s="181"/>
      <c r="D11" s="89"/>
      <c r="E11" s="181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</row>
    <row r="12" spans="1:52" ht="21" x14ac:dyDescent="0.35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</row>
    <row r="13" spans="1:52" ht="21" x14ac:dyDescent="0.35">
      <c r="A13" s="89"/>
      <c r="B13" s="89" t="s">
        <v>14</v>
      </c>
      <c r="C13" s="180" t="s">
        <v>56</v>
      </c>
      <c r="D13" s="180" t="s">
        <v>15</v>
      </c>
      <c r="E13" s="181" t="s">
        <v>8</v>
      </c>
      <c r="F13" s="180" t="s">
        <v>9</v>
      </c>
      <c r="G13" s="180" t="s">
        <v>57</v>
      </c>
      <c r="H13" s="181" t="s">
        <v>58</v>
      </c>
      <c r="I13" s="180" t="s">
        <v>77</v>
      </c>
      <c r="J13" s="181" t="s">
        <v>13</v>
      </c>
      <c r="K13" s="180" t="s">
        <v>16</v>
      </c>
      <c r="L13" s="180" t="s">
        <v>55</v>
      </c>
      <c r="M13" s="181" t="s">
        <v>44</v>
      </c>
      <c r="N13" s="181" t="s">
        <v>10</v>
      </c>
      <c r="O13" s="180" t="s">
        <v>12</v>
      </c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</row>
    <row r="14" spans="1:52" ht="21" x14ac:dyDescent="0.35">
      <c r="A14" s="89" t="s">
        <v>39</v>
      </c>
      <c r="B14" s="89" t="e">
        <f>100-(C14+D14+E14+F14+G14+H14+I14+J14+K14+L14+M14+N14+O14)</f>
        <v>#DIV/0!</v>
      </c>
      <c r="C14" s="89" t="e">
        <f>C5-C1</f>
        <v>#DIV/0!</v>
      </c>
      <c r="D14" s="89" t="e">
        <f>D5-D1</f>
        <v>#DIV/0!</v>
      </c>
      <c r="E14" s="89">
        <f t="shared" ref="E14:I14" si="1">E5</f>
        <v>0</v>
      </c>
      <c r="F14" s="89">
        <f t="shared" si="1"/>
        <v>0</v>
      </c>
      <c r="G14" s="89" t="e">
        <f t="shared" si="1"/>
        <v>#DIV/0!</v>
      </c>
      <c r="H14" s="89">
        <f t="shared" si="1"/>
        <v>0</v>
      </c>
      <c r="I14" s="89">
        <f t="shared" si="1"/>
        <v>0</v>
      </c>
      <c r="J14" s="89">
        <f>J5-J1</f>
        <v>0</v>
      </c>
      <c r="K14" s="89">
        <f>K5-K1</f>
        <v>0</v>
      </c>
      <c r="L14" s="89" t="e">
        <f t="shared" ref="L14:O14" si="2">L5</f>
        <v>#DIV/0!</v>
      </c>
      <c r="M14" s="89">
        <f t="shared" si="2"/>
        <v>0</v>
      </c>
      <c r="N14" s="89" t="e">
        <f t="shared" si="2"/>
        <v>#DIV/0!</v>
      </c>
      <c r="O14" s="89" t="e">
        <f t="shared" si="2"/>
        <v>#DIV/0!</v>
      </c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</row>
    <row r="15" spans="1:52" ht="21" x14ac:dyDescent="0.3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</row>
    <row r="16" spans="1:52" ht="21" x14ac:dyDescent="0.3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</row>
    <row r="17" spans="1:52" ht="21" x14ac:dyDescent="0.35">
      <c r="A17" s="89"/>
      <c r="B17" s="210" t="s">
        <v>14</v>
      </c>
      <c r="C17" s="210" t="s">
        <v>15</v>
      </c>
      <c r="D17" s="210" t="s">
        <v>8</v>
      </c>
      <c r="E17" s="210" t="s">
        <v>9</v>
      </c>
      <c r="F17" s="210" t="s">
        <v>234</v>
      </c>
      <c r="G17" s="210" t="s">
        <v>56</v>
      </c>
      <c r="H17" s="210" t="s">
        <v>57</v>
      </c>
      <c r="I17" s="210" t="s">
        <v>58</v>
      </c>
      <c r="J17" s="210" t="s">
        <v>77</v>
      </c>
      <c r="K17" s="210" t="s">
        <v>204</v>
      </c>
      <c r="L17" s="210" t="s">
        <v>16</v>
      </c>
      <c r="M17" s="210" t="s">
        <v>12</v>
      </c>
      <c r="N17" s="210" t="s">
        <v>44</v>
      </c>
      <c r="O17" s="210" t="s">
        <v>55</v>
      </c>
      <c r="P17" s="210" t="s">
        <v>17</v>
      </c>
      <c r="Q17" s="210" t="s">
        <v>80</v>
      </c>
      <c r="R17" s="210" t="s">
        <v>81</v>
      </c>
      <c r="S17" s="210" t="s">
        <v>82</v>
      </c>
      <c r="T17" s="210" t="s">
        <v>83</v>
      </c>
      <c r="U17" s="210" t="s">
        <v>45</v>
      </c>
      <c r="V17" s="210" t="s">
        <v>43</v>
      </c>
      <c r="W17" s="210" t="s">
        <v>13</v>
      </c>
      <c r="X17" s="210" t="s">
        <v>0</v>
      </c>
      <c r="Y17" s="210" t="s">
        <v>11</v>
      </c>
      <c r="Z17" s="210" t="s">
        <v>10</v>
      </c>
      <c r="AA17" s="211" t="s">
        <v>14</v>
      </c>
      <c r="AB17" s="212" t="s">
        <v>15</v>
      </c>
      <c r="AC17" s="213" t="s">
        <v>8</v>
      </c>
      <c r="AD17" s="214" t="s">
        <v>9</v>
      </c>
      <c r="AE17" s="213" t="s">
        <v>234</v>
      </c>
      <c r="AF17" s="213" t="s">
        <v>56</v>
      </c>
      <c r="AG17" s="214" t="s">
        <v>57</v>
      </c>
      <c r="AH17" s="213" t="s">
        <v>58</v>
      </c>
      <c r="AI17" s="215" t="s">
        <v>77</v>
      </c>
      <c r="AJ17" s="216" t="s">
        <v>204</v>
      </c>
      <c r="AK17" s="216" t="s">
        <v>16</v>
      </c>
      <c r="AL17" s="215" t="s">
        <v>12</v>
      </c>
      <c r="AM17" s="215" t="s">
        <v>44</v>
      </c>
      <c r="AN17" s="216" t="s">
        <v>55</v>
      </c>
      <c r="AO17" s="210" t="s">
        <v>17</v>
      </c>
      <c r="AP17" s="210" t="s">
        <v>80</v>
      </c>
      <c r="AQ17" s="210" t="s">
        <v>81</v>
      </c>
      <c r="AR17" s="210" t="s">
        <v>82</v>
      </c>
      <c r="AS17" s="210" t="s">
        <v>83</v>
      </c>
      <c r="AT17" s="210" t="s">
        <v>45</v>
      </c>
      <c r="AU17" s="210" t="s">
        <v>43</v>
      </c>
      <c r="AV17" s="210" t="s">
        <v>13</v>
      </c>
      <c r="AW17" s="210" t="s">
        <v>0</v>
      </c>
      <c r="AX17" s="210" t="s">
        <v>11</v>
      </c>
      <c r="AY17" s="210" t="s">
        <v>10</v>
      </c>
      <c r="AZ17" s="89"/>
    </row>
    <row r="18" spans="1:52" ht="21" x14ac:dyDescent="0.35">
      <c r="A18" s="89"/>
      <c r="B18" s="217" t="e">
        <f>100-C18-D18-E18-F18-G18-H18-I18-J18-K18-L18-M18-N18-O18-P18-Q18-R18-S18-T18-U18-V18-W18-X18-Y18-Z18</f>
        <v>#DIV/0!</v>
      </c>
      <c r="C18" s="218">
        <f>C7</f>
        <v>0</v>
      </c>
      <c r="D18" s="218" t="e">
        <f t="shared" ref="D18:Z18" si="3">D4</f>
        <v>#DIV/0!</v>
      </c>
      <c r="E18" s="218" t="e">
        <f t="shared" si="3"/>
        <v>#DIV/0!</v>
      </c>
      <c r="F18" s="218" t="e">
        <f t="shared" si="3"/>
        <v>#DIV/0!</v>
      </c>
      <c r="G18" s="218" t="e">
        <f>G7</f>
        <v>#DIV/0!</v>
      </c>
      <c r="H18" s="218" t="e">
        <f t="shared" si="3"/>
        <v>#DIV/0!</v>
      </c>
      <c r="I18" s="218" t="e">
        <f t="shared" si="3"/>
        <v>#DIV/0!</v>
      </c>
      <c r="J18" s="218" t="e">
        <f t="shared" si="3"/>
        <v>#DIV/0!</v>
      </c>
      <c r="K18" s="218" t="e">
        <f t="shared" si="3"/>
        <v>#DIV/0!</v>
      </c>
      <c r="L18" s="218">
        <f>L7</f>
        <v>0</v>
      </c>
      <c r="M18" s="218">
        <f>M7</f>
        <v>0</v>
      </c>
      <c r="N18" s="218" t="e">
        <f>N7</f>
        <v>#DIV/0!</v>
      </c>
      <c r="O18" s="218" t="e">
        <f t="shared" si="3"/>
        <v>#DIV/0!</v>
      </c>
      <c r="P18" s="218" t="e">
        <f t="shared" si="3"/>
        <v>#DIV/0!</v>
      </c>
      <c r="Q18" s="218" t="e">
        <f t="shared" si="3"/>
        <v>#DIV/0!</v>
      </c>
      <c r="R18" s="218" t="e">
        <f t="shared" si="3"/>
        <v>#DIV/0!</v>
      </c>
      <c r="S18" s="218" t="e">
        <f t="shared" si="3"/>
        <v>#DIV/0!</v>
      </c>
      <c r="T18" s="218" t="e">
        <f t="shared" si="3"/>
        <v>#DIV/0!</v>
      </c>
      <c r="U18" s="218" t="e">
        <f t="shared" si="3"/>
        <v>#DIV/0!</v>
      </c>
      <c r="V18" s="218" t="e">
        <f t="shared" si="3"/>
        <v>#DIV/0!</v>
      </c>
      <c r="W18" s="218" t="e">
        <f t="shared" si="3"/>
        <v>#DIV/0!</v>
      </c>
      <c r="X18" s="218" t="e">
        <f t="shared" si="3"/>
        <v>#DIV/0!</v>
      </c>
      <c r="Y18" s="218" t="e">
        <f t="shared" si="3"/>
        <v>#DIV/0!</v>
      </c>
      <c r="Z18" s="218" t="e">
        <f t="shared" si="3"/>
        <v>#DIV/0!</v>
      </c>
      <c r="AA18" s="219">
        <v>55.84</v>
      </c>
      <c r="AB18" s="219">
        <v>28.0855</v>
      </c>
      <c r="AC18" s="219">
        <v>58.693399999999997</v>
      </c>
      <c r="AD18" s="219">
        <v>63.545999999999999</v>
      </c>
      <c r="AE18" s="219">
        <v>65.38</v>
      </c>
      <c r="AF18" s="219">
        <v>12.01</v>
      </c>
      <c r="AG18" s="219">
        <v>30.973762000000001</v>
      </c>
      <c r="AH18" s="219">
        <v>32.064999999999998</v>
      </c>
      <c r="AI18" s="219">
        <v>14.0067</v>
      </c>
      <c r="AJ18" s="219">
        <v>10.81</v>
      </c>
      <c r="AK18" s="219">
        <v>54.938043999999998</v>
      </c>
      <c r="AL18" s="219">
        <v>26.981539999999999</v>
      </c>
      <c r="AM18" s="219">
        <v>51.996099999999998</v>
      </c>
      <c r="AN18" s="219">
        <v>95.95</v>
      </c>
      <c r="AO18" s="220">
        <v>47.866999999999997</v>
      </c>
      <c r="AP18" s="220">
        <v>50.941499999999998</v>
      </c>
      <c r="AQ18" s="220">
        <v>92.906369999999995</v>
      </c>
      <c r="AR18" s="220">
        <v>183.84</v>
      </c>
      <c r="AS18" s="220">
        <v>180.94788</v>
      </c>
      <c r="AT18" s="220">
        <v>91.224000000000004</v>
      </c>
      <c r="AU18" s="220">
        <v>58.933194999999998</v>
      </c>
      <c r="AV18" s="220">
        <v>24.305</v>
      </c>
      <c r="AW18" s="219">
        <v>121.76</v>
      </c>
      <c r="AX18" s="219">
        <v>207.2</v>
      </c>
      <c r="AY18" s="219">
        <v>118.71</v>
      </c>
      <c r="AZ18" s="89"/>
    </row>
    <row r="19" spans="1:52" ht="21" x14ac:dyDescent="0.35">
      <c r="A19" s="89"/>
      <c r="B19" s="217" t="e">
        <f>100*((((B18)*(AA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C19" s="217" t="e">
        <f>100*((((C18)*(AB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D19" s="217" t="e">
        <f>100*((((D18)*(AC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E19" s="217" t="e">
        <f>100*((((E18)*(AD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F19" s="217" t="e">
        <f>100*((((F18)*(AE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G19" s="217" t="e">
        <f>100*((((G18)*(AF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H19" s="217" t="e">
        <f>100*((((H18)*(AG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I19" s="217" t="e">
        <f>100*((((I18)*(AH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J19" s="217" t="e">
        <f>100*((((J18)*(AI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K19" s="217" t="e">
        <f>100*((((K18)*(AJ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L19" s="217" t="e">
        <f>100*((((L18)*(AK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M19" s="217" t="e">
        <f>100*((((M18)*(AL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N19" s="217" t="e">
        <f>100*((((N18)*(AM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O19" s="217" t="e">
        <f>100*((((O18)*(AN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P19" s="217" t="e">
        <f>100*((((P18)*(AO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Q19" s="217" t="e">
        <f>100*((((Q18)*(AP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R19" s="217" t="e">
        <f>100*((((R18)*(AQ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S19" s="217" t="e">
        <f>100*((((S18)*(AR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T19" s="217" t="e">
        <f>100*((((T18)*(AS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U19" s="217" t="e">
        <f>100*((((U18)*(AT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V19" s="217" t="e">
        <f>100*((((V18)*(AU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W19" s="217" t="e">
        <f>100*((((W18)*(AV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X19" s="219" t="e">
        <f>100*((((X18)*(AW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Y19" s="219" t="e">
        <f>100*((((Y18)*(AX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Z19" s="219" t="e">
        <f>100*((((Z18)*(AY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89"/>
    </row>
    <row r="20" spans="1:52" ht="21" x14ac:dyDescent="0.35">
      <c r="A20" s="89"/>
      <c r="B20" s="89"/>
      <c r="C20" s="89"/>
      <c r="D20" s="89"/>
      <c r="E20" s="89" t="e">
        <f>E19/'opt 11'!G6</f>
        <v>#DIV/0!</v>
      </c>
      <c r="F20" s="89" t="e">
        <f>F19/'opt 11'!G6</f>
        <v>#DIV/0!</v>
      </c>
      <c r="G20" s="89" t="e">
        <f>G19/'opt 11'!G6</f>
        <v>#DIV/0!</v>
      </c>
      <c r="H20" s="89" t="e">
        <f>H19/'opt 11'!G6</f>
        <v>#DIV/0!</v>
      </c>
      <c r="I20" s="89" t="e">
        <f>I19/'opt 11'!G6</f>
        <v>#DIV/0!</v>
      </c>
      <c r="J20" s="89"/>
      <c r="K20" s="89"/>
      <c r="L20" s="89" t="e">
        <f>L19/'opt 11'!G6</f>
        <v>#DIV/0!</v>
      </c>
      <c r="M20" s="89" t="e">
        <f>M19/'opt 11'!G6</f>
        <v>#DIV/0!</v>
      </c>
      <c r="N20" s="89" t="e">
        <f>N19/'opt 11'!G6</f>
        <v>#DIV/0!</v>
      </c>
      <c r="O20" s="89" t="e">
        <f>O19/'opt 11'!G6</f>
        <v>#DIV/0!</v>
      </c>
      <c r="P20" s="89" t="e">
        <f>P19/'opt 11'!G6</f>
        <v>#DIV/0!</v>
      </c>
      <c r="Q20" s="89" t="e">
        <f>Q19/'opt 11'!G6</f>
        <v>#DIV/0!</v>
      </c>
      <c r="R20" s="89" t="e">
        <f>R19/'opt 11'!G6</f>
        <v>#DIV/0!</v>
      </c>
      <c r="S20" s="89" t="e">
        <f>S19/'opt 11'!G6</f>
        <v>#DIV/0!</v>
      </c>
      <c r="T20" s="89" t="e">
        <f>T19/'opt 11'!G6</f>
        <v>#DIV/0!</v>
      </c>
      <c r="U20" s="89" t="e">
        <f>U19/'opt 11'!G6</f>
        <v>#DIV/0!</v>
      </c>
      <c r="V20" s="89" t="e">
        <f>V19/'opt 11'!G6</f>
        <v>#DIV/0!</v>
      </c>
      <c r="W20" s="89" t="e">
        <f>W19/'opt 11'!G6</f>
        <v>#DIV/0!</v>
      </c>
      <c r="X20" s="89" t="e">
        <f>X19/'opt 11'!G6</f>
        <v>#DIV/0!</v>
      </c>
      <c r="Y20" s="89" t="e">
        <f>Y19/'opt 11'!G6</f>
        <v>#DIV/0!</v>
      </c>
      <c r="Z20" s="89" t="e">
        <f>Z19/'opt 11'!G6</f>
        <v>#DIV/0!</v>
      </c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</row>
    <row r="21" spans="1:52" ht="21" x14ac:dyDescent="0.3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</row>
    <row r="22" spans="1:52" ht="21" x14ac:dyDescent="0.3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</row>
    <row r="23" spans="1:52" ht="21" x14ac:dyDescent="0.3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</row>
    <row r="24" spans="1:52" ht="21" x14ac:dyDescent="0.3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</row>
    <row r="25" spans="1:52" ht="21" x14ac:dyDescent="0.3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</row>
    <row r="26" spans="1:52" ht="21" x14ac:dyDescent="0.35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</row>
    <row r="27" spans="1:52" ht="21" x14ac:dyDescent="0.35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</row>
    <row r="28" spans="1:52" ht="21" x14ac:dyDescent="0.35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</row>
  </sheetData>
  <pageMargins left="0.7" right="0.7" top="0.75" bottom="0.75" header="0.3" footer="0.3"/>
  <pageSetup paperSize="9" orientation="portrait" verticalDpi="597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6C36-F33B-4C30-88DF-CD16791E06F4}">
  <dimension ref="A1:AY25"/>
  <sheetViews>
    <sheetView zoomScale="78" zoomScaleNormal="78" workbookViewId="0">
      <selection activeCell="F25" sqref="F25"/>
    </sheetView>
  </sheetViews>
  <sheetFormatPr baseColWidth="10" defaultColWidth="8.7109375" defaultRowHeight="15" x14ac:dyDescent="0.25"/>
  <cols>
    <col min="1" max="1" width="24.42578125" customWidth="1"/>
    <col min="2" max="2" width="14.85546875" customWidth="1"/>
    <col min="3" max="3" width="13.5703125" customWidth="1"/>
    <col min="4" max="4" width="8.28515625" customWidth="1"/>
    <col min="5" max="6" width="6.140625" customWidth="1"/>
    <col min="7" max="7" width="5.7109375" customWidth="1"/>
    <col min="8" max="8" width="6.5703125" customWidth="1"/>
    <col min="9" max="9" width="9.42578125" customWidth="1"/>
    <col min="10" max="11" width="12.7109375" customWidth="1"/>
    <col min="12" max="13" width="6" customWidth="1"/>
    <col min="14" max="14" width="5.85546875" customWidth="1"/>
    <col min="15" max="15" width="11.140625" customWidth="1"/>
    <col min="16" max="17" width="8.85546875" bestFit="1" customWidth="1"/>
  </cols>
  <sheetData>
    <row r="1" spans="1:51" ht="21" x14ac:dyDescent="0.35">
      <c r="A1" s="89" t="s">
        <v>34</v>
      </c>
      <c r="B1" s="190"/>
      <c r="C1" s="190">
        <f>C5-C2</f>
        <v>3.0806052622011419</v>
      </c>
      <c r="D1" s="190">
        <f>D4-D2</f>
        <v>1.3390140731654472</v>
      </c>
      <c r="E1" s="190">
        <f>E2-E5</f>
        <v>0</v>
      </c>
      <c r="F1" s="190">
        <f>F4-F2</f>
        <v>0</v>
      </c>
      <c r="G1" s="190">
        <f t="shared" ref="G1:O1" si="0">G4-G2</f>
        <v>0.91521970155323784</v>
      </c>
      <c r="H1" s="190">
        <f t="shared" si="0"/>
        <v>8.8718546811123438E-3</v>
      </c>
      <c r="I1" s="190">
        <f>I4-I2</f>
        <v>1.7139854382745025E-3</v>
      </c>
      <c r="J1" s="190">
        <f>J5-J2</f>
        <v>0</v>
      </c>
      <c r="K1" s="190">
        <f>K5-K2</f>
        <v>0</v>
      </c>
      <c r="L1" s="190">
        <f t="shared" si="0"/>
        <v>1.6006086588236572</v>
      </c>
      <c r="M1" s="190">
        <f t="shared" si="0"/>
        <v>2.2612196288118464E-3</v>
      </c>
      <c r="N1" s="190">
        <f t="shared" si="0"/>
        <v>1.3740766327042508</v>
      </c>
      <c r="O1" s="190">
        <f t="shared" si="0"/>
        <v>0.10882959025400381</v>
      </c>
      <c r="P1" s="190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</row>
    <row r="2" spans="1:51" ht="21" x14ac:dyDescent="0.35">
      <c r="A2" s="89" t="s">
        <v>37</v>
      </c>
      <c r="B2" s="191">
        <f>100-C2-D2-E2-F2-G2-H2-I2-J2-K2-L2-M2-N2-O2</f>
        <v>100</v>
      </c>
      <c r="C2" s="89">
        <f>'1.0330_3'!C14</f>
        <v>0</v>
      </c>
      <c r="D2" s="89">
        <f>'1.0330_3'!D14</f>
        <v>0</v>
      </c>
      <c r="E2" s="89">
        <f>'1.0330_3'!E14</f>
        <v>0</v>
      </c>
      <c r="F2" s="89">
        <f>'1.0330_3'!F14</f>
        <v>0</v>
      </c>
      <c r="G2" s="89">
        <f>'1.0330_3'!G14</f>
        <v>0</v>
      </c>
      <c r="H2" s="89">
        <f>'1.0330_3'!H14</f>
        <v>0</v>
      </c>
      <c r="I2" s="89">
        <f>'1.0330_3'!I14</f>
        <v>0</v>
      </c>
      <c r="J2" s="89">
        <f>'1.0330_3'!J14</f>
        <v>0</v>
      </c>
      <c r="K2" s="89">
        <f>'1.0330_3'!K14</f>
        <v>0</v>
      </c>
      <c r="L2" s="89">
        <f>'1.0330_3'!L14</f>
        <v>0</v>
      </c>
      <c r="M2" s="89">
        <f>'1.0330_3'!M14</f>
        <v>0</v>
      </c>
      <c r="N2" s="89">
        <f>'1.0330_3'!N14</f>
        <v>0</v>
      </c>
      <c r="O2" s="89">
        <f>'1.0330_3'!O14</f>
        <v>0</v>
      </c>
      <c r="P2" s="89">
        <f>'1.0330_3'!P14</f>
        <v>0</v>
      </c>
      <c r="Q2" s="89">
        <f>'1.0330_3'!Q14</f>
        <v>0</v>
      </c>
      <c r="R2" s="89">
        <f>'1.0330_3'!R14</f>
        <v>0</v>
      </c>
      <c r="S2" s="89">
        <f>'1.0330_3'!S14</f>
        <v>0</v>
      </c>
      <c r="T2" s="89">
        <f>'1.0330_3'!T14</f>
        <v>0</v>
      </c>
      <c r="U2" s="89">
        <f>'1.0330_3'!U14</f>
        <v>0</v>
      </c>
      <c r="V2" s="89">
        <f>'1.0330_3'!V14</f>
        <v>0</v>
      </c>
      <c r="W2" s="89">
        <f>'1.0330_3'!W14</f>
        <v>0</v>
      </c>
      <c r="X2" s="89">
        <f>'1.0330_3'!X14</f>
        <v>0</v>
      </c>
      <c r="Y2" s="89">
        <f>'1.0330_3'!Y14</f>
        <v>0</v>
      </c>
      <c r="Z2" s="89">
        <f>'1.0330_3'!Z14</f>
        <v>0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</row>
    <row r="3" spans="1:51" ht="21" x14ac:dyDescent="0.35">
      <c r="A3" s="89"/>
      <c r="B3" s="210" t="s">
        <v>14</v>
      </c>
      <c r="C3" s="210" t="s">
        <v>15</v>
      </c>
      <c r="D3" s="210" t="s">
        <v>8</v>
      </c>
      <c r="E3" s="210" t="s">
        <v>9</v>
      </c>
      <c r="F3" s="210" t="s">
        <v>234</v>
      </c>
      <c r="G3" s="210" t="s">
        <v>56</v>
      </c>
      <c r="H3" s="210" t="s">
        <v>57</v>
      </c>
      <c r="I3" s="210" t="s">
        <v>58</v>
      </c>
      <c r="J3" s="210" t="s">
        <v>77</v>
      </c>
      <c r="K3" s="210" t="s">
        <v>204</v>
      </c>
      <c r="L3" s="210" t="s">
        <v>16</v>
      </c>
      <c r="M3" s="210" t="s">
        <v>12</v>
      </c>
      <c r="N3" s="210" t="s">
        <v>44</v>
      </c>
      <c r="O3" s="210" t="s">
        <v>55</v>
      </c>
      <c r="P3" s="210" t="s">
        <v>17</v>
      </c>
      <c r="Q3" s="210" t="s">
        <v>80</v>
      </c>
      <c r="R3" s="210" t="s">
        <v>81</v>
      </c>
      <c r="S3" s="210" t="s">
        <v>82</v>
      </c>
      <c r="T3" s="210" t="s">
        <v>83</v>
      </c>
      <c r="U3" s="210" t="s">
        <v>45</v>
      </c>
      <c r="V3" s="210" t="s">
        <v>43</v>
      </c>
      <c r="W3" s="210" t="s">
        <v>13</v>
      </c>
      <c r="X3" s="210" t="s">
        <v>0</v>
      </c>
      <c r="Y3" s="210" t="s">
        <v>11</v>
      </c>
      <c r="Z3" s="210" t="s">
        <v>10</v>
      </c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</row>
    <row r="4" spans="1:51" ht="21" x14ac:dyDescent="0.35">
      <c r="A4" s="89" t="s">
        <v>35</v>
      </c>
      <c r="B4" s="190">
        <f>100-C4-D4-E4-F4-G4-H4-I4-J4-K4-L4-M4-N4-O4-P4-Q4-R4-S4-T4-U4-V4-W4-X4-Y4-Z4</f>
        <v>92.840162287943642</v>
      </c>
      <c r="C4" s="190">
        <f>'opt 1'!B3</f>
        <v>1.741591189035695</v>
      </c>
      <c r="D4" s="190">
        <f>'opt 1'!C3</f>
        <v>1.3390140731654472</v>
      </c>
      <c r="E4" s="190">
        <f>'opt 1'!D3</f>
        <v>0</v>
      </c>
      <c r="F4" s="190">
        <f>'opt 1'!E3</f>
        <v>0</v>
      </c>
      <c r="G4" s="190">
        <f>'opt 1'!F3</f>
        <v>0.91521970155323784</v>
      </c>
      <c r="H4" s="190">
        <f>'opt 1'!G3</f>
        <v>8.8718546811123438E-3</v>
      </c>
      <c r="I4" s="190">
        <f>'opt 1'!H3</f>
        <v>1.7139854382745025E-3</v>
      </c>
      <c r="J4" s="190">
        <f>'opt 1'!I3</f>
        <v>3.9237609914021089E-3</v>
      </c>
      <c r="K4" s="190">
        <f>'opt 1'!J3</f>
        <v>7.6261253115085933E-3</v>
      </c>
      <c r="L4" s="190">
        <f>'opt 1'!K3</f>
        <v>1.6006086588236572</v>
      </c>
      <c r="M4" s="190">
        <f>'opt 1'!L3</f>
        <v>2.2612196288118464E-3</v>
      </c>
      <c r="N4" s="190">
        <f>'opt 1'!M3</f>
        <v>1.3740766327042508</v>
      </c>
      <c r="O4" s="190">
        <f>'opt 1'!N3</f>
        <v>0.10882959025400381</v>
      </c>
      <c r="P4" s="190">
        <f>'opt 1'!O3</f>
        <v>0</v>
      </c>
      <c r="Q4" s="89">
        <f>'opt 1'!P3</f>
        <v>5.6100920468972061E-2</v>
      </c>
      <c r="R4" s="89">
        <f>'opt 1'!Q3</f>
        <v>0</v>
      </c>
      <c r="S4" s="89">
        <f>'opt 1'!R3</f>
        <v>0</v>
      </c>
      <c r="T4" s="89">
        <f>'opt 1'!S3</f>
        <v>0</v>
      </c>
      <c r="U4" s="89">
        <f>'opt 1'!T3</f>
        <v>0</v>
      </c>
      <c r="V4" s="89">
        <f>'opt 1'!U3</f>
        <v>0</v>
      </c>
      <c r="W4" s="89">
        <f>'opt 1'!V3</f>
        <v>0</v>
      </c>
      <c r="X4" s="89">
        <f>'opt 1'!W3</f>
        <v>0</v>
      </c>
      <c r="Y4" s="89">
        <f>'opt 1'!X3</f>
        <v>0</v>
      </c>
      <c r="Z4" s="89">
        <f>'opt 1'!Y3</f>
        <v>0</v>
      </c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</row>
    <row r="5" spans="1:51" ht="21" x14ac:dyDescent="0.35">
      <c r="A5" s="89" t="s">
        <v>36</v>
      </c>
      <c r="B5" s="190">
        <f>100-C5-D5-E5-F5-G5-H5-I5-J5-K5-L5-M5-N5-O5</f>
        <v>95.129458622201113</v>
      </c>
      <c r="C5" s="149">
        <f>C4+D4+E4+F4</f>
        <v>3.0806052622011419</v>
      </c>
      <c r="D5" s="158"/>
      <c r="E5" s="159"/>
      <c r="F5" s="159"/>
      <c r="G5" s="159">
        <f>G2+H4+I4+J4+K4</f>
        <v>2.2135726422297549E-2</v>
      </c>
      <c r="H5" s="159"/>
      <c r="I5" s="159"/>
      <c r="J5" s="149"/>
      <c r="K5" s="149"/>
      <c r="L5" s="7">
        <f>L4</f>
        <v>1.6006086588236572</v>
      </c>
      <c r="M5" s="7">
        <f>M4+P4+Q4+R4+S4+T4+U4+V4+W4+X4+Y4+Z4</f>
        <v>5.8362140097783906E-2</v>
      </c>
      <c r="N5" s="7">
        <f>N2+O4</f>
        <v>0.10882959025400381</v>
      </c>
      <c r="O5" s="7"/>
      <c r="P5" s="7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</row>
    <row r="6" spans="1:51" ht="21" x14ac:dyDescent="0.35">
      <c r="A6" s="89"/>
      <c r="B6" s="190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</row>
    <row r="7" spans="1:51" ht="21" x14ac:dyDescent="0.35">
      <c r="A7" s="89" t="s">
        <v>92</v>
      </c>
      <c r="B7" s="153">
        <f>100-C7-D7-E7-F7-G7-H7-I7-J7-K7-L7-M7-N7-O7-P7-Q7-R7-S7-T7-U7-V7-W7-X7-Y7-Z7</f>
        <v>101.52608031031072</v>
      </c>
      <c r="C7" s="156">
        <f>C2-D4-E4-F4</f>
        <v>-1.3390140731654472</v>
      </c>
      <c r="D7" s="156">
        <f>D2</f>
        <v>0</v>
      </c>
      <c r="E7" s="156"/>
      <c r="F7" s="156"/>
      <c r="G7" s="156">
        <f>G2-H4-I4-J4-K4</f>
        <v>-2.2135726422297549E-2</v>
      </c>
      <c r="H7" s="156"/>
      <c r="I7" s="156"/>
      <c r="J7" s="156"/>
      <c r="K7" s="156"/>
      <c r="L7" s="156">
        <f>L2</f>
        <v>0</v>
      </c>
      <c r="M7" s="156">
        <f>M2-P4-Q4-R4-S4-T4-U4-V4-W4-X4-Y4-Z4</f>
        <v>-5.6100920468972061E-2</v>
      </c>
      <c r="N7" s="156">
        <f>N2-O4</f>
        <v>-0.10882959025400381</v>
      </c>
      <c r="O7" s="156"/>
      <c r="P7" s="156"/>
      <c r="Q7" s="177"/>
      <c r="R7" s="177"/>
      <c r="S7" s="177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</row>
    <row r="8" spans="1:51" ht="21" x14ac:dyDescent="0.35">
      <c r="A8" s="89"/>
      <c r="B8" s="190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</row>
    <row r="9" spans="1:51" ht="21" x14ac:dyDescent="0.35">
      <c r="A9" s="89"/>
      <c r="B9" s="190"/>
      <c r="C9" s="190"/>
      <c r="D9" s="190"/>
      <c r="E9" s="190"/>
      <c r="F9" s="190" t="s">
        <v>7</v>
      </c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</row>
    <row r="10" spans="1:51" ht="21" x14ac:dyDescent="0.35">
      <c r="A10" s="89" t="s">
        <v>32</v>
      </c>
      <c r="B10" s="193"/>
      <c r="C10" s="193"/>
      <c r="D10" s="190"/>
      <c r="E10" s="193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</row>
    <row r="11" spans="1:51" ht="21" x14ac:dyDescent="0.35">
      <c r="A11" s="89" t="s">
        <v>33</v>
      </c>
      <c r="B11" s="192"/>
      <c r="C11" s="192"/>
      <c r="D11" s="190"/>
      <c r="E11" s="192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</row>
    <row r="12" spans="1:51" ht="21" x14ac:dyDescent="0.35">
      <c r="A12" s="89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</row>
    <row r="13" spans="1:51" ht="21" x14ac:dyDescent="0.35">
      <c r="A13" s="89"/>
      <c r="B13" s="190" t="s">
        <v>14</v>
      </c>
      <c r="C13" s="193" t="s">
        <v>56</v>
      </c>
      <c r="D13" s="193" t="s">
        <v>15</v>
      </c>
      <c r="E13" s="192" t="s">
        <v>8</v>
      </c>
      <c r="F13" s="193" t="s">
        <v>9</v>
      </c>
      <c r="G13" s="193" t="s">
        <v>57</v>
      </c>
      <c r="H13" s="192" t="s">
        <v>58</v>
      </c>
      <c r="I13" s="193" t="s">
        <v>77</v>
      </c>
      <c r="J13" s="192" t="s">
        <v>13</v>
      </c>
      <c r="K13" s="193" t="s">
        <v>16</v>
      </c>
      <c r="L13" s="193" t="s">
        <v>55</v>
      </c>
      <c r="M13" s="192" t="s">
        <v>44</v>
      </c>
      <c r="N13" s="192" t="s">
        <v>10</v>
      </c>
      <c r="O13" s="193" t="s">
        <v>12</v>
      </c>
      <c r="P13" s="190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</row>
    <row r="14" spans="1:51" ht="21" x14ac:dyDescent="0.35">
      <c r="A14" s="89" t="s">
        <v>39</v>
      </c>
      <c r="B14" s="190">
        <f>100-(C14+D14+E14+F14+G14+H14+I14+J14+K14+L14+M14+N14+O14)</f>
        <v>99.549077957567704</v>
      </c>
      <c r="C14" s="190">
        <f>C5-C1</f>
        <v>0</v>
      </c>
      <c r="D14" s="190">
        <f>D5-D1</f>
        <v>-1.3390140731654472</v>
      </c>
      <c r="E14" s="190">
        <f t="shared" ref="E14:I14" si="1">E5</f>
        <v>0</v>
      </c>
      <c r="F14" s="190">
        <f t="shared" si="1"/>
        <v>0</v>
      </c>
      <c r="G14" s="190">
        <f t="shared" si="1"/>
        <v>2.2135726422297549E-2</v>
      </c>
      <c r="H14" s="190">
        <f t="shared" si="1"/>
        <v>0</v>
      </c>
      <c r="I14" s="190">
        <f t="shared" si="1"/>
        <v>0</v>
      </c>
      <c r="J14" s="190">
        <f>J5-J1</f>
        <v>0</v>
      </c>
      <c r="K14" s="190">
        <f>K5-K1</f>
        <v>0</v>
      </c>
      <c r="L14" s="190">
        <f t="shared" ref="L14:O14" si="2">L5</f>
        <v>1.6006086588236572</v>
      </c>
      <c r="M14" s="190">
        <f t="shared" si="2"/>
        <v>5.8362140097783906E-2</v>
      </c>
      <c r="N14" s="190">
        <f t="shared" si="2"/>
        <v>0.10882959025400381</v>
      </c>
      <c r="O14" s="190">
        <f t="shared" si="2"/>
        <v>0</v>
      </c>
      <c r="P14" s="190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</row>
    <row r="15" spans="1:51" ht="21" x14ac:dyDescent="0.3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</row>
    <row r="16" spans="1:51" ht="21" x14ac:dyDescent="0.3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</row>
    <row r="17" spans="1:51" ht="21" x14ac:dyDescent="0.35">
      <c r="A17" s="89"/>
      <c r="B17" s="210" t="s">
        <v>14</v>
      </c>
      <c r="C17" s="210" t="s">
        <v>15</v>
      </c>
      <c r="D17" s="210" t="s">
        <v>8</v>
      </c>
      <c r="E17" s="210" t="s">
        <v>9</v>
      </c>
      <c r="F17" s="210" t="s">
        <v>234</v>
      </c>
      <c r="G17" s="210" t="s">
        <v>56</v>
      </c>
      <c r="H17" s="210" t="s">
        <v>57</v>
      </c>
      <c r="I17" s="210" t="s">
        <v>58</v>
      </c>
      <c r="J17" s="210" t="s">
        <v>77</v>
      </c>
      <c r="K17" s="210" t="s">
        <v>204</v>
      </c>
      <c r="L17" s="210" t="s">
        <v>16</v>
      </c>
      <c r="M17" s="210" t="s">
        <v>12</v>
      </c>
      <c r="N17" s="210" t="s">
        <v>44</v>
      </c>
      <c r="O17" s="210" t="s">
        <v>55</v>
      </c>
      <c r="P17" s="210" t="s">
        <v>17</v>
      </c>
      <c r="Q17" s="210" t="s">
        <v>80</v>
      </c>
      <c r="R17" s="210" t="s">
        <v>81</v>
      </c>
      <c r="S17" s="210" t="s">
        <v>82</v>
      </c>
      <c r="T17" s="210" t="s">
        <v>83</v>
      </c>
      <c r="U17" s="210" t="s">
        <v>45</v>
      </c>
      <c r="V17" s="210" t="s">
        <v>43</v>
      </c>
      <c r="W17" s="210" t="s">
        <v>13</v>
      </c>
      <c r="X17" s="210" t="s">
        <v>0</v>
      </c>
      <c r="Y17" s="210" t="s">
        <v>11</v>
      </c>
      <c r="Z17" s="210" t="s">
        <v>10</v>
      </c>
      <c r="AA17" s="211" t="s">
        <v>14</v>
      </c>
      <c r="AB17" s="212" t="s">
        <v>15</v>
      </c>
      <c r="AC17" s="213" t="s">
        <v>8</v>
      </c>
      <c r="AD17" s="214" t="s">
        <v>9</v>
      </c>
      <c r="AE17" s="213" t="s">
        <v>234</v>
      </c>
      <c r="AF17" s="213" t="s">
        <v>56</v>
      </c>
      <c r="AG17" s="214" t="s">
        <v>57</v>
      </c>
      <c r="AH17" s="213" t="s">
        <v>58</v>
      </c>
      <c r="AI17" s="215" t="s">
        <v>77</v>
      </c>
      <c r="AJ17" s="216" t="s">
        <v>204</v>
      </c>
      <c r="AK17" s="216" t="s">
        <v>16</v>
      </c>
      <c r="AL17" s="215" t="s">
        <v>12</v>
      </c>
      <c r="AM17" s="215" t="s">
        <v>44</v>
      </c>
      <c r="AN17" s="216" t="s">
        <v>55</v>
      </c>
      <c r="AO17" s="210" t="s">
        <v>17</v>
      </c>
      <c r="AP17" s="210" t="s">
        <v>80</v>
      </c>
      <c r="AQ17" s="210" t="s">
        <v>81</v>
      </c>
      <c r="AR17" s="210" t="s">
        <v>82</v>
      </c>
      <c r="AS17" s="210" t="s">
        <v>83</v>
      </c>
      <c r="AT17" s="210" t="s">
        <v>45</v>
      </c>
      <c r="AU17" s="210" t="s">
        <v>43</v>
      </c>
      <c r="AV17" s="210" t="s">
        <v>13</v>
      </c>
      <c r="AW17" s="210" t="s">
        <v>0</v>
      </c>
      <c r="AX17" s="210" t="s">
        <v>11</v>
      </c>
      <c r="AY17" s="210" t="s">
        <v>10</v>
      </c>
    </row>
    <row r="18" spans="1:51" ht="21" x14ac:dyDescent="0.35">
      <c r="A18" s="89"/>
      <c r="B18" s="217">
        <f>100-C18-D18-E18-F18-G18-H18-I18-J18-K18-L18-M18-N18-O18-P18-Q18-R18-S18-T18-U18-V18-W18-X18-Y18-Z18</f>
        <v>100</v>
      </c>
      <c r="C18" s="218">
        <f>C7</f>
        <v>-1.3390140731654472</v>
      </c>
      <c r="D18" s="218">
        <f t="shared" ref="D18:Z18" si="3">D4</f>
        <v>1.3390140731654472</v>
      </c>
      <c r="E18" s="218">
        <f t="shared" si="3"/>
        <v>0</v>
      </c>
      <c r="F18" s="218">
        <f t="shared" si="3"/>
        <v>0</v>
      </c>
      <c r="G18" s="218">
        <f>G7</f>
        <v>-2.2135726422297549E-2</v>
      </c>
      <c r="H18" s="218">
        <f t="shared" si="3"/>
        <v>8.8718546811123438E-3</v>
      </c>
      <c r="I18" s="218">
        <f t="shared" si="3"/>
        <v>1.7139854382745025E-3</v>
      </c>
      <c r="J18" s="218">
        <f t="shared" si="3"/>
        <v>3.9237609914021089E-3</v>
      </c>
      <c r="K18" s="218">
        <f t="shared" si="3"/>
        <v>7.6261253115085933E-3</v>
      </c>
      <c r="L18" s="218">
        <f>L7</f>
        <v>0</v>
      </c>
      <c r="M18" s="218">
        <f>M7</f>
        <v>-5.6100920468972061E-2</v>
      </c>
      <c r="N18" s="218">
        <f>N7</f>
        <v>-0.10882959025400381</v>
      </c>
      <c r="O18" s="218">
        <f t="shared" si="3"/>
        <v>0.10882959025400381</v>
      </c>
      <c r="P18" s="218">
        <f t="shared" si="3"/>
        <v>0</v>
      </c>
      <c r="Q18" s="218">
        <f t="shared" si="3"/>
        <v>5.6100920468972061E-2</v>
      </c>
      <c r="R18" s="218">
        <f t="shared" si="3"/>
        <v>0</v>
      </c>
      <c r="S18" s="218">
        <f t="shared" si="3"/>
        <v>0</v>
      </c>
      <c r="T18" s="218">
        <f t="shared" si="3"/>
        <v>0</v>
      </c>
      <c r="U18" s="218">
        <f t="shared" si="3"/>
        <v>0</v>
      </c>
      <c r="V18" s="218">
        <f t="shared" si="3"/>
        <v>0</v>
      </c>
      <c r="W18" s="218">
        <f t="shared" si="3"/>
        <v>0</v>
      </c>
      <c r="X18" s="218">
        <f t="shared" si="3"/>
        <v>0</v>
      </c>
      <c r="Y18" s="218">
        <f t="shared" si="3"/>
        <v>0</v>
      </c>
      <c r="Z18" s="218">
        <f t="shared" si="3"/>
        <v>0</v>
      </c>
      <c r="AA18" s="219">
        <v>55.84</v>
      </c>
      <c r="AB18" s="219">
        <v>28.0855</v>
      </c>
      <c r="AC18" s="219">
        <v>58.693399999999997</v>
      </c>
      <c r="AD18" s="219">
        <v>63.545999999999999</v>
      </c>
      <c r="AE18" s="219">
        <v>65.38</v>
      </c>
      <c r="AF18" s="219">
        <v>12.01</v>
      </c>
      <c r="AG18" s="219">
        <v>30.973762000000001</v>
      </c>
      <c r="AH18" s="219">
        <v>32.064999999999998</v>
      </c>
      <c r="AI18" s="219">
        <v>14.0067</v>
      </c>
      <c r="AJ18" s="219">
        <v>10.81</v>
      </c>
      <c r="AK18" s="219">
        <v>54.938043999999998</v>
      </c>
      <c r="AL18" s="219">
        <v>26.981539999999999</v>
      </c>
      <c r="AM18" s="219">
        <v>51.996099999999998</v>
      </c>
      <c r="AN18" s="219">
        <v>95.95</v>
      </c>
      <c r="AO18" s="220">
        <v>47.866999999999997</v>
      </c>
      <c r="AP18" s="220">
        <v>50.941499999999998</v>
      </c>
      <c r="AQ18" s="220">
        <v>92.906369999999995</v>
      </c>
      <c r="AR18" s="220">
        <v>183.84</v>
      </c>
      <c r="AS18" s="220">
        <v>180.94788</v>
      </c>
      <c r="AT18" s="220">
        <v>91.224000000000004</v>
      </c>
      <c r="AU18" s="220">
        <v>58.933194999999998</v>
      </c>
      <c r="AV18" s="220">
        <v>24.305</v>
      </c>
      <c r="AW18" s="219">
        <v>121.76</v>
      </c>
      <c r="AX18" s="219">
        <v>207.2</v>
      </c>
      <c r="AY18" s="219">
        <v>118.71</v>
      </c>
    </row>
    <row r="19" spans="1:51" ht="21" x14ac:dyDescent="0.35">
      <c r="A19" s="89"/>
      <c r="B19" s="217">
        <f>100*((((B18)*(AA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99.159816415528454</v>
      </c>
      <c r="C19" s="217">
        <f>100*((((C18)*(AB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-0.66781720848103243</v>
      </c>
      <c r="D19" s="217">
        <f>100*((((D18)*(AC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1.3956120611796345</v>
      </c>
      <c r="E19" s="217">
        <f>100*((((E18)*(AD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F19" s="217">
        <f>100*((((F18)*(AE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G19" s="217">
        <f>100*((((G18)*(AF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-4.720924886245567E-3</v>
      </c>
      <c r="H19" s="217">
        <f>100*((((H18)*(AG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4.879762451677044E-3</v>
      </c>
      <c r="I19" s="217">
        <f>100*((((I18)*(AH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9.7595249033540865E-4</v>
      </c>
      <c r="J19" s="217">
        <f>100*((((J18)*(AI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9.7595249033540865E-4</v>
      </c>
      <c r="K19" s="217">
        <f>100*((((K18)*(AJ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1.4639287355031135E-3</v>
      </c>
      <c r="L19" s="217">
        <f>100*((((L18)*(AK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M19" s="217">
        <f>100*((((M18)*(AL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-2.6879861411940972E-2</v>
      </c>
      <c r="N19" s="217">
        <f>100*((((N18)*(AM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-0.10048658075787908</v>
      </c>
      <c r="O19" s="217">
        <f>100*((((O18)*(AN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0.18543097316372764</v>
      </c>
      <c r="P19" s="217">
        <f>100*((((P18)*(AO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Q19" s="217">
        <f>100*((((Q18)*(AP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5.0749529497441256E-2</v>
      </c>
      <c r="R19" s="217">
        <f>100*((((R18)*(AQ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S19" s="217">
        <f>100*((((S18)*(AR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T19" s="217">
        <f>100*((((T18)*(AS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U19" s="217">
        <f>100*((((U18)*(AT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V19" s="217">
        <f>100*((((V18)*(AU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W19" s="217">
        <f>100*((((W18)*(AV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X19" s="219">
        <f>100*((((X18)*(AW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Y19" s="219">
        <f>100*((((Y18)*(AX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Z19" s="219">
        <f>100*((((Z18)*(AY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</row>
    <row r="20" spans="1:51" ht="21" x14ac:dyDescent="0.35">
      <c r="A20" s="89"/>
      <c r="B20" s="89"/>
      <c r="C20" s="89"/>
      <c r="D20" s="89"/>
      <c r="E20" s="89" t="e">
        <f>E19/'opt 11'!G6</f>
        <v>#DIV/0!</v>
      </c>
      <c r="F20" s="89" t="e">
        <f>F19/'opt 11'!G6</f>
        <v>#DIV/0!</v>
      </c>
      <c r="G20" s="89" t="e">
        <f>G19/'opt 11'!G6</f>
        <v>#DIV/0!</v>
      </c>
      <c r="H20" s="89" t="e">
        <f>H19/'opt 11'!G6</f>
        <v>#DIV/0!</v>
      </c>
      <c r="I20" s="89" t="e">
        <f>I19/'opt 11'!G6</f>
        <v>#DIV/0!</v>
      </c>
      <c r="J20" s="89"/>
      <c r="K20" s="89"/>
      <c r="L20" s="89" t="e">
        <f>L19/'opt 11'!G6</f>
        <v>#DIV/0!</v>
      </c>
      <c r="M20" s="89" t="e">
        <f>M19/'opt 11'!G6</f>
        <v>#DIV/0!</v>
      </c>
      <c r="N20" s="89" t="e">
        <f>N19/'opt 11'!G6</f>
        <v>#DIV/0!</v>
      </c>
      <c r="O20" s="89" t="e">
        <f>O19/'opt 11'!G6</f>
        <v>#DIV/0!</v>
      </c>
      <c r="P20" s="89" t="e">
        <f>P19/'opt 11'!G6</f>
        <v>#DIV/0!</v>
      </c>
      <c r="Q20" s="89" t="e">
        <f>Q19/'opt 11'!G6</f>
        <v>#DIV/0!</v>
      </c>
      <c r="R20" s="89" t="e">
        <f>R19/'opt 11'!G6</f>
        <v>#DIV/0!</v>
      </c>
      <c r="S20" s="89" t="e">
        <f>S19/'opt 11'!G6</f>
        <v>#DIV/0!</v>
      </c>
      <c r="T20" s="89" t="e">
        <f>T19/'opt 11'!G6</f>
        <v>#DIV/0!</v>
      </c>
      <c r="U20" s="89" t="e">
        <f>U19/'opt 11'!G6</f>
        <v>#DIV/0!</v>
      </c>
      <c r="V20" s="89" t="e">
        <f>V19/'opt 11'!G6</f>
        <v>#DIV/0!</v>
      </c>
      <c r="W20" s="89" t="e">
        <f>W19/'opt 11'!G6</f>
        <v>#DIV/0!</v>
      </c>
      <c r="X20" s="89" t="e">
        <f>X19/'opt 11'!G6</f>
        <v>#DIV/0!</v>
      </c>
      <c r="Y20" s="89" t="e">
        <f>Y19/'opt 11'!G6</f>
        <v>#DIV/0!</v>
      </c>
      <c r="Z20" s="89" t="e">
        <f>Z19/'opt 11'!G6</f>
        <v>#DIV/0!</v>
      </c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</row>
    <row r="21" spans="1:51" ht="21" x14ac:dyDescent="0.3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</row>
    <row r="22" spans="1:51" ht="21" x14ac:dyDescent="0.3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</row>
    <row r="23" spans="1:51" ht="21" x14ac:dyDescent="0.3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</row>
    <row r="24" spans="1:51" ht="21" x14ac:dyDescent="0.3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</row>
    <row r="25" spans="1:51" ht="21" x14ac:dyDescent="0.3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</row>
  </sheetData>
  <pageMargins left="0.7" right="0.7" top="0.75" bottom="0.75" header="0.3" footer="0.3"/>
  <pageSetup paperSize="9" orientation="portrait" verticalDpi="597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C741-385B-459A-AF27-E114DFF72935}">
  <dimension ref="A1:AX4"/>
  <sheetViews>
    <sheetView zoomScale="77" zoomScaleNormal="77" workbookViewId="0">
      <selection activeCell="B2" sqref="B2:Y2"/>
    </sheetView>
  </sheetViews>
  <sheetFormatPr baseColWidth="10" defaultRowHeight="15" x14ac:dyDescent="0.25"/>
  <cols>
    <col min="2" max="2" width="14.42578125" customWidth="1"/>
    <col min="3" max="3" width="16.28515625" customWidth="1"/>
  </cols>
  <sheetData>
    <row r="1" spans="1:50" ht="18" x14ac:dyDescent="0.25">
      <c r="A1" s="210" t="s">
        <v>14</v>
      </c>
      <c r="B1" s="210" t="s">
        <v>15</v>
      </c>
      <c r="C1" s="210" t="s">
        <v>8</v>
      </c>
      <c r="D1" s="210" t="s">
        <v>9</v>
      </c>
      <c r="E1" s="210" t="s">
        <v>234</v>
      </c>
      <c r="F1" s="210" t="s">
        <v>56</v>
      </c>
      <c r="G1" s="210" t="s">
        <v>57</v>
      </c>
      <c r="H1" s="210" t="s">
        <v>58</v>
      </c>
      <c r="I1" s="210" t="s">
        <v>77</v>
      </c>
      <c r="J1" s="210" t="s">
        <v>204</v>
      </c>
      <c r="K1" s="210" t="s">
        <v>16</v>
      </c>
      <c r="L1" s="210" t="s">
        <v>12</v>
      </c>
      <c r="M1" s="210" t="s">
        <v>44</v>
      </c>
      <c r="N1" s="210" t="s">
        <v>55</v>
      </c>
      <c r="O1" s="210" t="s">
        <v>17</v>
      </c>
      <c r="P1" s="210" t="s">
        <v>80</v>
      </c>
      <c r="Q1" s="210" t="s">
        <v>81</v>
      </c>
      <c r="R1" s="210" t="s">
        <v>82</v>
      </c>
      <c r="S1" s="210" t="s">
        <v>83</v>
      </c>
      <c r="T1" s="210" t="s">
        <v>45</v>
      </c>
      <c r="U1" s="210" t="s">
        <v>43</v>
      </c>
      <c r="V1" s="210" t="s">
        <v>13</v>
      </c>
      <c r="W1" s="210" t="s">
        <v>0</v>
      </c>
      <c r="X1" s="210" t="s">
        <v>11</v>
      </c>
      <c r="Y1" s="210" t="s">
        <v>10</v>
      </c>
      <c r="Z1" s="210" t="s">
        <v>14</v>
      </c>
      <c r="AA1" s="210" t="s">
        <v>15</v>
      </c>
      <c r="AB1" s="210" t="s">
        <v>8</v>
      </c>
      <c r="AC1" s="210" t="s">
        <v>9</v>
      </c>
      <c r="AD1" s="210" t="s">
        <v>234</v>
      </c>
      <c r="AE1" s="210" t="s">
        <v>56</v>
      </c>
      <c r="AF1" s="210" t="s">
        <v>57</v>
      </c>
      <c r="AG1" s="210" t="s">
        <v>58</v>
      </c>
      <c r="AH1" s="210" t="s">
        <v>77</v>
      </c>
      <c r="AI1" s="210" t="s">
        <v>204</v>
      </c>
      <c r="AJ1" s="210" t="s">
        <v>16</v>
      </c>
      <c r="AK1" s="210" t="s">
        <v>12</v>
      </c>
      <c r="AL1" s="210" t="s">
        <v>44</v>
      </c>
      <c r="AM1" s="210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13</v>
      </c>
      <c r="AV1" s="210" t="s">
        <v>0</v>
      </c>
      <c r="AW1" s="210" t="s">
        <v>11</v>
      </c>
      <c r="AX1" s="210" t="s">
        <v>10</v>
      </c>
    </row>
    <row r="2" spans="1:50" ht="23.25" x14ac:dyDescent="0.35">
      <c r="A2" s="36">
        <f>100-B2-C2-D2-E2-F2-G2-H2-I2-J2-K2-L2-M2-N2-O2-P2-Q2-R2-S2-T2-U2-V2-W2-X2-Y2</f>
        <v>100</v>
      </c>
      <c r="B2" s="71">
        <f>'1.0330_3'!C14</f>
        <v>0</v>
      </c>
      <c r="C2" s="71">
        <f>'1.0330_3'!D14</f>
        <v>0</v>
      </c>
      <c r="D2" s="71">
        <f>'1.0330_3'!E14</f>
        <v>0</v>
      </c>
      <c r="E2" s="71">
        <f>'1.0330_3'!F14</f>
        <v>0</v>
      </c>
      <c r="F2" s="71">
        <f>'1.0330_3'!G14</f>
        <v>0</v>
      </c>
      <c r="G2" s="71">
        <f>'1.0330_3'!H14</f>
        <v>0</v>
      </c>
      <c r="H2" s="71">
        <f>'1.0330_3'!I14</f>
        <v>0</v>
      </c>
      <c r="I2" s="71">
        <f>'1.0330_3'!J14</f>
        <v>0</v>
      </c>
      <c r="J2" s="71">
        <f>'1.0330_3'!K14</f>
        <v>0</v>
      </c>
      <c r="K2" s="71">
        <f>'1.0330_3'!L14</f>
        <v>0</v>
      </c>
      <c r="L2" s="71">
        <f>'1.0330_3'!M14</f>
        <v>0</v>
      </c>
      <c r="M2" s="71">
        <f>'1.0330_3'!N14</f>
        <v>0</v>
      </c>
      <c r="N2" s="71">
        <f>'1.0330_3'!O14</f>
        <v>0</v>
      </c>
      <c r="O2" s="71">
        <f>'1.0330_3'!P14</f>
        <v>0</v>
      </c>
      <c r="P2" s="71">
        <f>'1.0330_3'!Q14</f>
        <v>0</v>
      </c>
      <c r="Q2" s="71">
        <f>'1.0330_3'!R14</f>
        <v>0</v>
      </c>
      <c r="R2" s="71">
        <f>'1.0330_3'!S14</f>
        <v>0</v>
      </c>
      <c r="S2" s="71">
        <f>'1.0330_3'!T14</f>
        <v>0</v>
      </c>
      <c r="T2" s="71">
        <f>'1.0330_3'!U14</f>
        <v>0</v>
      </c>
      <c r="U2" s="71">
        <f>'1.0330_3'!V14</f>
        <v>0</v>
      </c>
      <c r="V2" s="71">
        <f>'1.0330_3'!W14</f>
        <v>0</v>
      </c>
      <c r="W2" s="71">
        <f>'1.0330_3'!X14</f>
        <v>0</v>
      </c>
      <c r="X2" s="71">
        <f>'1.0330_3'!Y14</f>
        <v>0</v>
      </c>
      <c r="Y2" s="71">
        <f>'1.0330_3'!Z14</f>
        <v>0</v>
      </c>
      <c r="Z2" s="68">
        <v>55.84</v>
      </c>
      <c r="AA2" s="7">
        <v>28.0855</v>
      </c>
      <c r="AB2" s="7">
        <v>58.693399999999997</v>
      </c>
      <c r="AC2" s="7">
        <v>63.545999999999999</v>
      </c>
      <c r="AD2" s="7">
        <v>65.38</v>
      </c>
      <c r="AE2" s="7">
        <v>12.01</v>
      </c>
      <c r="AF2" s="7">
        <v>30.973762000000001</v>
      </c>
      <c r="AG2" s="7">
        <v>32.064999999999998</v>
      </c>
      <c r="AH2" s="7">
        <v>14.0067</v>
      </c>
      <c r="AI2" s="7">
        <v>10.81</v>
      </c>
      <c r="AJ2" s="7">
        <v>54.938043999999998</v>
      </c>
      <c r="AK2" s="7">
        <v>26.981539999999999</v>
      </c>
      <c r="AL2" s="7">
        <v>51.996099999999998</v>
      </c>
      <c r="AM2" s="7">
        <v>95.95</v>
      </c>
      <c r="AN2">
        <v>47.866999999999997</v>
      </c>
      <c r="AO2">
        <v>50.941499999999998</v>
      </c>
      <c r="AP2">
        <v>92.906369999999995</v>
      </c>
      <c r="AQ2">
        <v>183.84</v>
      </c>
      <c r="AR2">
        <v>180.94788</v>
      </c>
      <c r="AS2">
        <v>91.224000000000004</v>
      </c>
      <c r="AT2">
        <v>58.933194999999998</v>
      </c>
      <c r="AU2">
        <v>24.305</v>
      </c>
      <c r="AV2" s="7">
        <v>121.76</v>
      </c>
      <c r="AW2" s="7">
        <v>207.2</v>
      </c>
      <c r="AX2" s="7">
        <v>118.71</v>
      </c>
    </row>
    <row r="3" spans="1:50" ht="18.75" x14ac:dyDescent="0.3">
      <c r="A3" s="36">
        <f>100*((((A2)*(Z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100</v>
      </c>
      <c r="B3" s="36">
        <f>100*((((B2)*(AA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C3" s="36">
        <f>100*((((C2)*(AB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D3" s="36">
        <f>100*((((D2)*(AC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E3" s="36">
        <f>100*((((E2)*(AD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F3" s="36">
        <f>100*((((F2)*(AE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G3" s="36">
        <f>100*((((G2)*(AF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H3" s="36">
        <f>100*((((H2)*(AG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I3" s="36">
        <f>100*((((I2)*(AH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J3" s="36">
        <f>100*((((J2)*(AI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K3" s="36">
        <f>100*((((K2)*(AJ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L3" s="36">
        <f>100*((((L2)*(AK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M3" s="36">
        <f>100*((((M2)*(AL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N3" s="36">
        <f>100*((((N2)*(AM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W2))+((X2)/(AW2))+((Y2)/(AX2)))))</f>
        <v>0</v>
      </c>
      <c r="P3" s="36">
        <f>100*((((P2)*(AO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Q3" s="36">
        <f>100*((((Q2)*(AP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R3" s="36">
        <f>100*((((R2)*(AQ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S3" s="36">
        <f>100*((((S2)*(AR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T3" s="36">
        <f>100*((((T2)*(AS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U3" s="36">
        <f>100*((((U2)*(AT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V3" s="36">
        <f>100*((((V2)*(AU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W3" s="7">
        <f>100*((((W2)*(AV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X3" s="7">
        <f>100*((((X2)*(AW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Y3" s="7">
        <f>100*((((Y2)*(AX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Z3" s="68">
        <v>55.84</v>
      </c>
      <c r="AA3" s="7">
        <v>95.94</v>
      </c>
      <c r="AB3" s="7">
        <v>183.85</v>
      </c>
      <c r="AC3" s="7">
        <v>58.933199999999999</v>
      </c>
      <c r="AD3" s="7">
        <v>63.54</v>
      </c>
      <c r="AE3" s="7">
        <v>12.01</v>
      </c>
      <c r="AF3" s="7">
        <v>28.085000000000001</v>
      </c>
      <c r="AG3" s="7">
        <v>47.88</v>
      </c>
      <c r="AH3" s="7">
        <v>58.692999999999998</v>
      </c>
      <c r="AI3" s="7">
        <v>51.99</v>
      </c>
      <c r="AJ3" s="7">
        <v>54.93</v>
      </c>
      <c r="AK3" s="7">
        <v>92.9</v>
      </c>
      <c r="AL3" s="7">
        <v>14.0067</v>
      </c>
      <c r="AM3" s="7">
        <v>26.981539999999999</v>
      </c>
    </row>
    <row r="4" spans="1:50" ht="15.75" x14ac:dyDescent="0.25">
      <c r="A4" s="8"/>
      <c r="B4" s="9"/>
    </row>
  </sheetData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59C8-98E2-4F7B-BE32-15A5C3C091A5}">
  <dimension ref="A1:AZ26"/>
  <sheetViews>
    <sheetView zoomScale="80" zoomScaleNormal="80" workbookViewId="0">
      <selection activeCell="C5" sqref="C5:R7"/>
    </sheetView>
  </sheetViews>
  <sheetFormatPr baseColWidth="10" defaultColWidth="8.7109375" defaultRowHeight="15" x14ac:dyDescent="0.25"/>
  <cols>
    <col min="1" max="1" width="24.42578125" customWidth="1"/>
    <col min="2" max="2" width="19.140625" customWidth="1"/>
    <col min="3" max="3" width="13.5703125" customWidth="1"/>
    <col min="4" max="4" width="11.85546875" customWidth="1"/>
    <col min="5" max="5" width="10.42578125" customWidth="1"/>
    <col min="6" max="6" width="6.140625" customWidth="1"/>
    <col min="7" max="7" width="5.7109375" customWidth="1"/>
    <col min="8" max="8" width="6.5703125" customWidth="1"/>
    <col min="9" max="9" width="9.42578125" customWidth="1"/>
    <col min="10" max="11" width="12.7109375" customWidth="1"/>
    <col min="12" max="12" width="10.140625" customWidth="1"/>
    <col min="13" max="13" width="8.7109375" customWidth="1"/>
    <col min="14" max="14" width="8.5703125" customWidth="1"/>
    <col min="15" max="15" width="10.140625" customWidth="1"/>
    <col min="16" max="23" width="19.42578125" bestFit="1" customWidth="1"/>
    <col min="24" max="26" width="17.85546875" bestFit="1" customWidth="1"/>
    <col min="28" max="28" width="9.85546875" customWidth="1"/>
  </cols>
  <sheetData>
    <row r="1" spans="1:52" ht="21" x14ac:dyDescent="0.35">
      <c r="A1" s="89" t="s">
        <v>34</v>
      </c>
      <c r="B1" s="89"/>
      <c r="C1" s="89" t="e">
        <f>C5-C2</f>
        <v>#DIV/0!</v>
      </c>
      <c r="D1" s="89" t="e">
        <f>D4-D2</f>
        <v>#DIV/0!</v>
      </c>
      <c r="E1" s="89">
        <f>E2-E5</f>
        <v>0</v>
      </c>
      <c r="F1" s="89" t="e">
        <f>F4-F2</f>
        <v>#DIV/0!</v>
      </c>
      <c r="G1" s="89" t="e">
        <f t="shared" ref="G1:O1" si="0">G4-G2</f>
        <v>#DIV/0!</v>
      </c>
      <c r="H1" s="89" t="e">
        <f t="shared" si="0"/>
        <v>#DIV/0!</v>
      </c>
      <c r="I1" s="89" t="e">
        <f>I4-I2</f>
        <v>#DIV/0!</v>
      </c>
      <c r="J1" s="89">
        <f>J5-J2</f>
        <v>0</v>
      </c>
      <c r="K1" s="89">
        <f>K5-K2</f>
        <v>0</v>
      </c>
      <c r="L1" s="89" t="e">
        <f t="shared" si="0"/>
        <v>#DIV/0!</v>
      </c>
      <c r="M1" s="89" t="e">
        <f t="shared" si="0"/>
        <v>#DIV/0!</v>
      </c>
      <c r="N1" s="89" t="e">
        <f t="shared" si="0"/>
        <v>#DIV/0!</v>
      </c>
      <c r="O1" s="89" t="e">
        <f t="shared" si="0"/>
        <v>#DIV/0!</v>
      </c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</row>
    <row r="2" spans="1:52" ht="21" x14ac:dyDescent="0.35">
      <c r="A2" s="89" t="s">
        <v>37</v>
      </c>
      <c r="B2" s="138">
        <f>100-C2-D2-E2-F2-G2-H2-I2-J2-K2-L2-M2-N2-O2</f>
        <v>100</v>
      </c>
      <c r="C2" s="89">
        <f>'1.0330_3'!C15</f>
        <v>0</v>
      </c>
      <c r="D2" s="89">
        <f>'1.0330_3'!D15</f>
        <v>0</v>
      </c>
      <c r="E2" s="89">
        <f>'1.0330_3'!E15</f>
        <v>0</v>
      </c>
      <c r="F2" s="89">
        <f>'1.0330_3'!F15</f>
        <v>0</v>
      </c>
      <c r="G2" s="89">
        <f>'1.0330_3'!G15</f>
        <v>0</v>
      </c>
      <c r="H2" s="89">
        <f>'1.0330_3'!H15</f>
        <v>0</v>
      </c>
      <c r="I2" s="89">
        <f>'1.0330_3'!I15</f>
        <v>0</v>
      </c>
      <c r="J2" s="89">
        <f>'1.0330_3'!J15</f>
        <v>0</v>
      </c>
      <c r="K2" s="89">
        <f>'1.0330_3'!K15</f>
        <v>0</v>
      </c>
      <c r="L2" s="89">
        <f>'1.0330_3'!L15</f>
        <v>0</v>
      </c>
      <c r="M2" s="89">
        <f>'1.0330_3'!M15</f>
        <v>0</v>
      </c>
      <c r="N2" s="89">
        <f>'1.0330_3'!N15</f>
        <v>0</v>
      </c>
      <c r="O2" s="89">
        <f>'1.0330_3'!O15</f>
        <v>0</v>
      </c>
      <c r="P2" s="89">
        <f>'1.0330_3'!P15</f>
        <v>0</v>
      </c>
      <c r="Q2" s="89">
        <f>'1.0330_3'!Q15</f>
        <v>0</v>
      </c>
      <c r="R2" s="89">
        <f>'1.0330_3'!R15</f>
        <v>0</v>
      </c>
      <c r="S2" s="89">
        <f>'1.0330_3'!S15</f>
        <v>0</v>
      </c>
      <c r="T2" s="89">
        <f>'1.0330_3'!T15</f>
        <v>0</v>
      </c>
      <c r="U2" s="89">
        <f>'1.0330_3'!U15</f>
        <v>0</v>
      </c>
      <c r="V2" s="89">
        <f>'1.0330_3'!V15</f>
        <v>0</v>
      </c>
      <c r="W2" s="89">
        <f>'1.0330_3'!W15</f>
        <v>0</v>
      </c>
      <c r="X2" s="89">
        <f>'1.0330_3'!X15</f>
        <v>0</v>
      </c>
      <c r="Y2" s="89">
        <f>'1.0330_3'!Y15</f>
        <v>0</v>
      </c>
      <c r="Z2" s="89">
        <f>'1.0330_3'!Z15</f>
        <v>0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</row>
    <row r="3" spans="1:52" ht="21" x14ac:dyDescent="0.35">
      <c r="A3" s="89"/>
      <c r="B3" s="210" t="s">
        <v>14</v>
      </c>
      <c r="C3" s="210" t="s">
        <v>15</v>
      </c>
      <c r="D3" s="210" t="s">
        <v>8</v>
      </c>
      <c r="E3" s="210" t="s">
        <v>9</v>
      </c>
      <c r="F3" s="210" t="s">
        <v>234</v>
      </c>
      <c r="G3" s="210" t="s">
        <v>56</v>
      </c>
      <c r="H3" s="210" t="s">
        <v>57</v>
      </c>
      <c r="I3" s="210" t="s">
        <v>58</v>
      </c>
      <c r="J3" s="210" t="s">
        <v>77</v>
      </c>
      <c r="K3" s="210" t="s">
        <v>204</v>
      </c>
      <c r="L3" s="210" t="s">
        <v>16</v>
      </c>
      <c r="M3" s="210" t="s">
        <v>12</v>
      </c>
      <c r="N3" s="210" t="s">
        <v>44</v>
      </c>
      <c r="O3" s="210" t="s">
        <v>55</v>
      </c>
      <c r="P3" s="210" t="s">
        <v>17</v>
      </c>
      <c r="Q3" s="210" t="s">
        <v>80</v>
      </c>
      <c r="R3" s="210" t="s">
        <v>81</v>
      </c>
      <c r="S3" s="210" t="s">
        <v>82</v>
      </c>
      <c r="T3" s="210" t="s">
        <v>83</v>
      </c>
      <c r="U3" s="210" t="s">
        <v>45</v>
      </c>
      <c r="V3" s="210" t="s">
        <v>43</v>
      </c>
      <c r="W3" s="210" t="s">
        <v>13</v>
      </c>
      <c r="X3" s="210" t="s">
        <v>0</v>
      </c>
      <c r="Y3" s="210" t="s">
        <v>11</v>
      </c>
      <c r="Z3" s="210" t="s">
        <v>10</v>
      </c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</row>
    <row r="4" spans="1:52" ht="21" x14ac:dyDescent="0.35">
      <c r="A4" s="89" t="s">
        <v>35</v>
      </c>
      <c r="B4" s="89" t="e">
        <f>100-C4-D4-E4-F4-G4-H4-I4-J4-K4-L4-M4-N4-O4-P4-Q4-R4-S4-T4-U4-V4-W4-X4-Y4-Z4</f>
        <v>#DIV/0!</v>
      </c>
      <c r="C4" s="89" t="e">
        <f>'opt 12'!C56</f>
        <v>#DIV/0!</v>
      </c>
      <c r="D4" s="89" t="e">
        <f>'opt 12'!D56</f>
        <v>#DIV/0!</v>
      </c>
      <c r="E4" s="89" t="e">
        <f>'opt 12'!E56</f>
        <v>#DIV/0!</v>
      </c>
      <c r="F4" s="89" t="e">
        <f>'opt 12'!F56</f>
        <v>#DIV/0!</v>
      </c>
      <c r="G4" s="89" t="e">
        <f>'opt 12'!G56</f>
        <v>#DIV/0!</v>
      </c>
      <c r="H4" s="89" t="e">
        <f>'opt 12'!H56</f>
        <v>#DIV/0!</v>
      </c>
      <c r="I4" s="89" t="e">
        <f>'opt 12'!I56</f>
        <v>#DIV/0!</v>
      </c>
      <c r="J4" s="89" t="e">
        <f>'opt 12'!J56</f>
        <v>#DIV/0!</v>
      </c>
      <c r="K4" s="89" t="e">
        <f>'opt 12'!K56</f>
        <v>#DIV/0!</v>
      </c>
      <c r="L4" s="89" t="e">
        <f>'opt 12'!L56</f>
        <v>#DIV/0!</v>
      </c>
      <c r="M4" s="89" t="e">
        <f>'opt 12'!M56</f>
        <v>#DIV/0!</v>
      </c>
      <c r="N4" s="89" t="e">
        <f>'opt 12'!N56</f>
        <v>#DIV/0!</v>
      </c>
      <c r="O4" s="89" t="e">
        <f>'opt 12'!O56</f>
        <v>#DIV/0!</v>
      </c>
      <c r="P4" s="89" t="e">
        <f>'opt 12'!P56</f>
        <v>#DIV/0!</v>
      </c>
      <c r="Q4" s="89" t="e">
        <f>'opt 12'!Q56</f>
        <v>#DIV/0!</v>
      </c>
      <c r="R4" s="89" t="e">
        <f>'opt 12'!R56</f>
        <v>#DIV/0!</v>
      </c>
      <c r="S4" s="89" t="e">
        <f>'opt 12'!S56</f>
        <v>#DIV/0!</v>
      </c>
      <c r="T4" s="89" t="e">
        <f>'opt 12'!T56</f>
        <v>#DIV/0!</v>
      </c>
      <c r="U4" s="89" t="e">
        <f>'opt 12'!U56</f>
        <v>#DIV/0!</v>
      </c>
      <c r="V4" s="89" t="e">
        <f>'opt 12'!V56</f>
        <v>#DIV/0!</v>
      </c>
      <c r="W4" s="89" t="e">
        <f>'opt 12'!W56</f>
        <v>#DIV/0!</v>
      </c>
      <c r="X4" s="89" t="e">
        <f>'opt 12'!X56</f>
        <v>#DIV/0!</v>
      </c>
      <c r="Y4" s="89" t="e">
        <f>'opt 12'!Y56</f>
        <v>#DIV/0!</v>
      </c>
      <c r="Z4" s="89" t="e">
        <f>'opt 12'!Z56</f>
        <v>#DIV/0!</v>
      </c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</row>
    <row r="5" spans="1:52" ht="21" x14ac:dyDescent="0.35">
      <c r="A5" s="89" t="s">
        <v>36</v>
      </c>
      <c r="B5" s="89" t="e">
        <f>100-C5-D5-E5-F5-G5-H5-I5-J5-K5-L5-M5-N5-O5</f>
        <v>#DIV/0!</v>
      </c>
      <c r="C5" s="149" t="e">
        <f>C4</f>
        <v>#DIV/0!</v>
      </c>
      <c r="D5" s="158"/>
      <c r="E5" s="159"/>
      <c r="F5" s="159"/>
      <c r="G5" s="159" t="e">
        <f>G4+D4+E4+F4+H4+I4+J4+K4+M4+V4</f>
        <v>#DIV/0!</v>
      </c>
      <c r="H5" s="159"/>
      <c r="I5" s="159"/>
      <c r="J5" s="149"/>
      <c r="K5" s="149"/>
      <c r="L5" s="7" t="e">
        <f>L4</f>
        <v>#DIV/0!</v>
      </c>
      <c r="M5" s="7"/>
      <c r="N5" s="7" t="e">
        <f>N4+P4+Q4+R4+S4+T4+U4+W4+X4+Y4+Z4</f>
        <v>#DIV/0!</v>
      </c>
      <c r="O5" s="7" t="e">
        <f>O4</f>
        <v>#DIV/0!</v>
      </c>
      <c r="P5" s="7"/>
      <c r="Q5" s="7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</row>
    <row r="6" spans="1:52" ht="21" x14ac:dyDescent="0.35">
      <c r="A6" s="89"/>
      <c r="B6" s="8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</row>
    <row r="7" spans="1:52" ht="21" x14ac:dyDescent="0.35">
      <c r="A7" s="89" t="s">
        <v>92</v>
      </c>
      <c r="B7" s="139" t="e">
        <f>100-C7-D7-E7-F7-G7-H7-I7-J7-K7-L7-M7-N7-O7-P7-Q7-R7-S7-T7-U7-V7-W7-X7-Y7-Z7</f>
        <v>#DIV/0!</v>
      </c>
      <c r="C7" s="156">
        <f>C2</f>
        <v>0</v>
      </c>
      <c r="D7" s="156"/>
      <c r="E7" s="156"/>
      <c r="F7" s="156"/>
      <c r="G7" s="156" t="e">
        <f>G2-D4-E4-F4-H4-I4-J4-K4-M4-V4</f>
        <v>#DIV/0!</v>
      </c>
      <c r="H7" s="156"/>
      <c r="I7" s="156"/>
      <c r="J7" s="156"/>
      <c r="K7" s="156"/>
      <c r="L7" s="156">
        <f>L2</f>
        <v>0</v>
      </c>
      <c r="M7" s="156">
        <f>M2</f>
        <v>0</v>
      </c>
      <c r="N7" s="156" t="e">
        <f>N2-P4-Q4-R4-S4-T4-U4-W4-X4-Y4-Z4</f>
        <v>#DIV/0!</v>
      </c>
      <c r="O7" s="156"/>
      <c r="P7" s="156"/>
      <c r="Q7" s="156"/>
      <c r="R7" s="177"/>
      <c r="S7" s="177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</row>
    <row r="8" spans="1:52" ht="21" x14ac:dyDescent="0.35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</row>
    <row r="9" spans="1:52" ht="21" x14ac:dyDescent="0.35">
      <c r="A9" s="89"/>
      <c r="B9" s="89"/>
      <c r="C9" s="89"/>
      <c r="D9" s="89"/>
      <c r="E9" s="89"/>
      <c r="F9" s="89" t="s">
        <v>7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</row>
    <row r="10" spans="1:52" ht="21" x14ac:dyDescent="0.35">
      <c r="A10" s="89" t="s">
        <v>32</v>
      </c>
      <c r="B10" s="180"/>
      <c r="C10" s="180"/>
      <c r="D10" s="89"/>
      <c r="E10" s="180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</row>
    <row r="11" spans="1:52" ht="21" x14ac:dyDescent="0.35">
      <c r="A11" s="89" t="s">
        <v>33</v>
      </c>
      <c r="B11" s="181"/>
      <c r="C11" s="181"/>
      <c r="D11" s="89"/>
      <c r="E11" s="181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</row>
    <row r="12" spans="1:52" ht="21" x14ac:dyDescent="0.35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</row>
    <row r="13" spans="1:52" ht="21" x14ac:dyDescent="0.35">
      <c r="A13" s="89"/>
      <c r="B13" s="89" t="s">
        <v>14</v>
      </c>
      <c r="C13" s="180" t="s">
        <v>56</v>
      </c>
      <c r="D13" s="180" t="s">
        <v>15</v>
      </c>
      <c r="E13" s="181" t="s">
        <v>8</v>
      </c>
      <c r="F13" s="180" t="s">
        <v>9</v>
      </c>
      <c r="G13" s="180" t="s">
        <v>57</v>
      </c>
      <c r="H13" s="181" t="s">
        <v>58</v>
      </c>
      <c r="I13" s="180" t="s">
        <v>77</v>
      </c>
      <c r="J13" s="181" t="s">
        <v>13</v>
      </c>
      <c r="K13" s="180" t="s">
        <v>16</v>
      </c>
      <c r="L13" s="180" t="s">
        <v>55</v>
      </c>
      <c r="M13" s="181" t="s">
        <v>44</v>
      </c>
      <c r="N13" s="181" t="s">
        <v>10</v>
      </c>
      <c r="O13" s="180" t="s">
        <v>12</v>
      </c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</row>
    <row r="14" spans="1:52" ht="21" x14ac:dyDescent="0.35">
      <c r="A14" s="89" t="s">
        <v>39</v>
      </c>
      <c r="B14" s="89" t="e">
        <f>100-(C14+D14+E14+F14+G14+H14+I14+J14+K14+L14+M14+N14+O14)</f>
        <v>#DIV/0!</v>
      </c>
      <c r="C14" s="89" t="e">
        <f>C5-C1</f>
        <v>#DIV/0!</v>
      </c>
      <c r="D14" s="89" t="e">
        <f>D5-D1</f>
        <v>#DIV/0!</v>
      </c>
      <c r="E14" s="89">
        <f t="shared" ref="E14:I14" si="1">E5</f>
        <v>0</v>
      </c>
      <c r="F14" s="89">
        <f t="shared" si="1"/>
        <v>0</v>
      </c>
      <c r="G14" s="89" t="e">
        <f t="shared" si="1"/>
        <v>#DIV/0!</v>
      </c>
      <c r="H14" s="89">
        <f t="shared" si="1"/>
        <v>0</v>
      </c>
      <c r="I14" s="89">
        <f t="shared" si="1"/>
        <v>0</v>
      </c>
      <c r="J14" s="89">
        <f>J5-J1</f>
        <v>0</v>
      </c>
      <c r="K14" s="89">
        <f>K5-K1</f>
        <v>0</v>
      </c>
      <c r="L14" s="89" t="e">
        <f t="shared" ref="L14:O14" si="2">L5</f>
        <v>#DIV/0!</v>
      </c>
      <c r="M14" s="89">
        <f t="shared" si="2"/>
        <v>0</v>
      </c>
      <c r="N14" s="89" t="e">
        <f t="shared" si="2"/>
        <v>#DIV/0!</v>
      </c>
      <c r="O14" s="89" t="e">
        <f t="shared" si="2"/>
        <v>#DIV/0!</v>
      </c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</row>
    <row r="15" spans="1:52" ht="21" x14ac:dyDescent="0.3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</row>
    <row r="16" spans="1:52" ht="21" x14ac:dyDescent="0.3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</row>
    <row r="17" spans="1:52" ht="21" x14ac:dyDescent="0.35">
      <c r="A17" s="89"/>
      <c r="B17" s="210" t="s">
        <v>14</v>
      </c>
      <c r="C17" s="210" t="s">
        <v>15</v>
      </c>
      <c r="D17" s="210" t="s">
        <v>8</v>
      </c>
      <c r="E17" s="210" t="s">
        <v>9</v>
      </c>
      <c r="F17" s="210" t="s">
        <v>234</v>
      </c>
      <c r="G17" s="210" t="s">
        <v>56</v>
      </c>
      <c r="H17" s="210" t="s">
        <v>57</v>
      </c>
      <c r="I17" s="210" t="s">
        <v>58</v>
      </c>
      <c r="J17" s="210" t="s">
        <v>77</v>
      </c>
      <c r="K17" s="210" t="s">
        <v>204</v>
      </c>
      <c r="L17" s="210" t="s">
        <v>16</v>
      </c>
      <c r="M17" s="210" t="s">
        <v>12</v>
      </c>
      <c r="N17" s="210" t="s">
        <v>44</v>
      </c>
      <c r="O17" s="210" t="s">
        <v>55</v>
      </c>
      <c r="P17" s="210" t="s">
        <v>17</v>
      </c>
      <c r="Q17" s="210" t="s">
        <v>80</v>
      </c>
      <c r="R17" s="210" t="s">
        <v>81</v>
      </c>
      <c r="S17" s="210" t="s">
        <v>82</v>
      </c>
      <c r="T17" s="210" t="s">
        <v>83</v>
      </c>
      <c r="U17" s="210" t="s">
        <v>45</v>
      </c>
      <c r="V17" s="210" t="s">
        <v>43</v>
      </c>
      <c r="W17" s="210" t="s">
        <v>13</v>
      </c>
      <c r="X17" s="210" t="s">
        <v>0</v>
      </c>
      <c r="Y17" s="210" t="s">
        <v>11</v>
      </c>
      <c r="Z17" s="210" t="s">
        <v>10</v>
      </c>
      <c r="AA17" s="211" t="s">
        <v>14</v>
      </c>
      <c r="AB17" s="212" t="s">
        <v>15</v>
      </c>
      <c r="AC17" s="213" t="s">
        <v>8</v>
      </c>
      <c r="AD17" s="214" t="s">
        <v>9</v>
      </c>
      <c r="AE17" s="213" t="s">
        <v>234</v>
      </c>
      <c r="AF17" s="213" t="s">
        <v>56</v>
      </c>
      <c r="AG17" s="214" t="s">
        <v>57</v>
      </c>
      <c r="AH17" s="213" t="s">
        <v>58</v>
      </c>
      <c r="AI17" s="215" t="s">
        <v>77</v>
      </c>
      <c r="AJ17" s="216" t="s">
        <v>204</v>
      </c>
      <c r="AK17" s="216" t="s">
        <v>16</v>
      </c>
      <c r="AL17" s="215" t="s">
        <v>12</v>
      </c>
      <c r="AM17" s="215" t="s">
        <v>44</v>
      </c>
      <c r="AN17" s="216" t="s">
        <v>55</v>
      </c>
      <c r="AO17" s="210" t="s">
        <v>17</v>
      </c>
      <c r="AP17" s="210" t="s">
        <v>80</v>
      </c>
      <c r="AQ17" s="210" t="s">
        <v>81</v>
      </c>
      <c r="AR17" s="210" t="s">
        <v>82</v>
      </c>
      <c r="AS17" s="210" t="s">
        <v>83</v>
      </c>
      <c r="AT17" s="210" t="s">
        <v>45</v>
      </c>
      <c r="AU17" s="210" t="s">
        <v>43</v>
      </c>
      <c r="AV17" s="210" t="s">
        <v>13</v>
      </c>
      <c r="AW17" s="210" t="s">
        <v>0</v>
      </c>
      <c r="AX17" s="210" t="s">
        <v>11</v>
      </c>
      <c r="AY17" s="210" t="s">
        <v>10</v>
      </c>
      <c r="AZ17" s="89"/>
    </row>
    <row r="18" spans="1:52" ht="21" x14ac:dyDescent="0.35">
      <c r="A18" s="89"/>
      <c r="B18" s="217" t="e">
        <f>100-C18-D18-E18-F18-G18-H18-I18-J18-K18-L18-M18-N18-O18-P18-Q18-R18-S18-T18-U18-V18-W18-X18-Y18-Z18</f>
        <v>#DIV/0!</v>
      </c>
      <c r="C18" s="218">
        <f>C7</f>
        <v>0</v>
      </c>
      <c r="D18" s="218" t="e">
        <f t="shared" ref="D18:Z18" si="3">D4</f>
        <v>#DIV/0!</v>
      </c>
      <c r="E18" s="218" t="e">
        <f t="shared" si="3"/>
        <v>#DIV/0!</v>
      </c>
      <c r="F18" s="218" t="e">
        <f t="shared" si="3"/>
        <v>#DIV/0!</v>
      </c>
      <c r="G18" s="218" t="e">
        <f>G7</f>
        <v>#DIV/0!</v>
      </c>
      <c r="H18" s="218" t="e">
        <f t="shared" si="3"/>
        <v>#DIV/0!</v>
      </c>
      <c r="I18" s="218" t="e">
        <f t="shared" si="3"/>
        <v>#DIV/0!</v>
      </c>
      <c r="J18" s="218" t="e">
        <f t="shared" si="3"/>
        <v>#DIV/0!</v>
      </c>
      <c r="K18" s="218" t="e">
        <f t="shared" si="3"/>
        <v>#DIV/0!</v>
      </c>
      <c r="L18" s="218">
        <f>L7</f>
        <v>0</v>
      </c>
      <c r="M18" s="218">
        <f>M7</f>
        <v>0</v>
      </c>
      <c r="N18" s="218" t="e">
        <f>N7</f>
        <v>#DIV/0!</v>
      </c>
      <c r="O18" s="218" t="e">
        <f t="shared" si="3"/>
        <v>#DIV/0!</v>
      </c>
      <c r="P18" s="218" t="e">
        <f t="shared" si="3"/>
        <v>#DIV/0!</v>
      </c>
      <c r="Q18" s="218" t="e">
        <f t="shared" si="3"/>
        <v>#DIV/0!</v>
      </c>
      <c r="R18" s="218" t="e">
        <f t="shared" si="3"/>
        <v>#DIV/0!</v>
      </c>
      <c r="S18" s="218" t="e">
        <f t="shared" si="3"/>
        <v>#DIV/0!</v>
      </c>
      <c r="T18" s="218" t="e">
        <f t="shared" si="3"/>
        <v>#DIV/0!</v>
      </c>
      <c r="U18" s="218" t="e">
        <f t="shared" si="3"/>
        <v>#DIV/0!</v>
      </c>
      <c r="V18" s="218" t="e">
        <f t="shared" si="3"/>
        <v>#DIV/0!</v>
      </c>
      <c r="W18" s="218" t="e">
        <f t="shared" si="3"/>
        <v>#DIV/0!</v>
      </c>
      <c r="X18" s="218" t="e">
        <f t="shared" si="3"/>
        <v>#DIV/0!</v>
      </c>
      <c r="Y18" s="218" t="e">
        <f t="shared" si="3"/>
        <v>#DIV/0!</v>
      </c>
      <c r="Z18" s="218" t="e">
        <f t="shared" si="3"/>
        <v>#DIV/0!</v>
      </c>
      <c r="AA18" s="219">
        <v>55.84</v>
      </c>
      <c r="AB18" s="219">
        <v>28.0855</v>
      </c>
      <c r="AC18" s="219">
        <v>58.693399999999997</v>
      </c>
      <c r="AD18" s="219">
        <v>63.545999999999999</v>
      </c>
      <c r="AE18" s="219">
        <v>65.38</v>
      </c>
      <c r="AF18" s="219">
        <v>12.01</v>
      </c>
      <c r="AG18" s="219">
        <v>30.973762000000001</v>
      </c>
      <c r="AH18" s="219">
        <v>32.064999999999998</v>
      </c>
      <c r="AI18" s="219">
        <v>14.0067</v>
      </c>
      <c r="AJ18" s="219">
        <v>10.81</v>
      </c>
      <c r="AK18" s="219">
        <v>54.938043999999998</v>
      </c>
      <c r="AL18" s="219">
        <v>26.981539999999999</v>
      </c>
      <c r="AM18" s="219">
        <v>51.996099999999998</v>
      </c>
      <c r="AN18" s="219">
        <v>95.95</v>
      </c>
      <c r="AO18" s="220">
        <v>47.866999999999997</v>
      </c>
      <c r="AP18" s="220">
        <v>50.941499999999998</v>
      </c>
      <c r="AQ18" s="220">
        <v>92.906369999999995</v>
      </c>
      <c r="AR18" s="220">
        <v>183.84</v>
      </c>
      <c r="AS18" s="220">
        <v>180.94788</v>
      </c>
      <c r="AT18" s="220">
        <v>91.224000000000004</v>
      </c>
      <c r="AU18" s="220">
        <v>58.933194999999998</v>
      </c>
      <c r="AV18" s="220">
        <v>24.305</v>
      </c>
      <c r="AW18" s="219">
        <v>121.76</v>
      </c>
      <c r="AX18" s="219">
        <v>207.2</v>
      </c>
      <c r="AY18" s="219">
        <v>118.71</v>
      </c>
      <c r="AZ18" s="89"/>
    </row>
    <row r="19" spans="1:52" ht="21" x14ac:dyDescent="0.35">
      <c r="A19" s="89"/>
      <c r="B19" s="251" t="e">
        <f>100*((((B18)*(AA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C19" s="251" t="e">
        <f>100*((((C18)*(AB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D19" s="251" t="e">
        <f>100*((((D18)*(AC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E19" s="251" t="e">
        <f>100*((((E18)*(AD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F19" s="251" t="e">
        <f>100*((((F18)*(AE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G19" s="251" t="e">
        <f>100*((((G18)*(AF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H19" s="251" t="e">
        <f>100*((((H18)*(AG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I19" s="251" t="e">
        <f>100*((((I18)*(AH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J19" s="251" t="e">
        <f>100*((((J18)*(AI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K19" s="251" t="e">
        <f>100*((((K18)*(AJ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L19" s="251" t="e">
        <f>100*((((L18)*(AK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M19" s="251" t="e">
        <f>100*((((M18)*(AL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N19" s="251" t="e">
        <f>100*((((N18)*(AM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O19" s="251" t="e">
        <f>100*((((O18)*(AN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P19" s="251" t="e">
        <f>100*((((P18)*(AO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Q19" s="251" t="e">
        <f>100*((((Q18)*(AP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R19" s="251" t="e">
        <f>100*((((R18)*(AQ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S19" s="251" t="e">
        <f>100*((((S18)*(AR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T19" s="251" t="e">
        <f>100*((((T18)*(AS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U19" s="251" t="e">
        <f>100*((((U18)*(AT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V19" s="251" t="e">
        <f>100*((((V18)*(AU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W19" s="251" t="e">
        <f>100*((((W18)*(AV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X19" s="252" t="e">
        <f>100*((((X18)*(AW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Y19" s="252" t="e">
        <f>100*((((Y18)*(AX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Z19" s="252" t="e">
        <f>100*((((Z18)*(AY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89"/>
    </row>
    <row r="20" spans="1:52" ht="21" x14ac:dyDescent="0.35">
      <c r="A20" s="89"/>
      <c r="B20" s="89"/>
      <c r="C20" s="89"/>
      <c r="D20" s="89"/>
      <c r="E20" s="89" t="e">
        <f>E19/'opt 12'!G6</f>
        <v>#DIV/0!</v>
      </c>
      <c r="F20" s="89" t="e">
        <f>F19/'opt 12'!G6</f>
        <v>#DIV/0!</v>
      </c>
      <c r="G20" s="89" t="e">
        <f>G19/'opt 12'!G6</f>
        <v>#DIV/0!</v>
      </c>
      <c r="H20" s="89" t="e">
        <f>H19/'opt 12'!G6</f>
        <v>#DIV/0!</v>
      </c>
      <c r="I20" s="89" t="e">
        <f>I19/'opt 12'!G6</f>
        <v>#DIV/0!</v>
      </c>
      <c r="J20" s="89"/>
      <c r="K20" s="89"/>
      <c r="L20" s="89" t="e">
        <f>L19/'opt 12'!G6</f>
        <v>#DIV/0!</v>
      </c>
      <c r="M20" s="89" t="e">
        <f>M19/'opt 12'!G6</f>
        <v>#DIV/0!</v>
      </c>
      <c r="N20" s="89" t="e">
        <f>N19/'opt 12'!G6</f>
        <v>#DIV/0!</v>
      </c>
      <c r="O20" s="89" t="e">
        <f>O19/'opt 12'!G6</f>
        <v>#DIV/0!</v>
      </c>
      <c r="P20" s="89" t="e">
        <f>P19/'opt 12'!G6</f>
        <v>#DIV/0!</v>
      </c>
      <c r="Q20" s="89" t="e">
        <f>Q19/'opt 12'!G6</f>
        <v>#DIV/0!</v>
      </c>
      <c r="R20" s="89" t="e">
        <f>R19/'opt 12'!G6</f>
        <v>#DIV/0!</v>
      </c>
      <c r="S20" s="89" t="e">
        <f>S19/'opt 12'!G6</f>
        <v>#DIV/0!</v>
      </c>
      <c r="T20" s="89" t="e">
        <f>T19/'opt 12'!G6</f>
        <v>#DIV/0!</v>
      </c>
      <c r="U20" s="89" t="e">
        <f>U19/'opt 12'!G6</f>
        <v>#DIV/0!</v>
      </c>
      <c r="V20" s="89" t="e">
        <f>V19/'opt 12'!G6</f>
        <v>#DIV/0!</v>
      </c>
      <c r="W20" s="89" t="e">
        <f>W19/'opt 12'!G6</f>
        <v>#DIV/0!</v>
      </c>
      <c r="X20" s="89" t="e">
        <f>X19/'opt 12'!G6</f>
        <v>#DIV/0!</v>
      </c>
      <c r="Y20" s="89" t="e">
        <f>Y19/'opt 12'!G6</f>
        <v>#DIV/0!</v>
      </c>
      <c r="Z20" s="89" t="e">
        <f>Z19/'opt 12'!G6</f>
        <v>#DIV/0!</v>
      </c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</row>
    <row r="21" spans="1:52" ht="21" x14ac:dyDescent="0.3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</row>
    <row r="22" spans="1:52" ht="21" x14ac:dyDescent="0.3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</row>
    <row r="23" spans="1:52" ht="21" x14ac:dyDescent="0.3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</row>
    <row r="24" spans="1:52" ht="21" x14ac:dyDescent="0.3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</row>
    <row r="25" spans="1:52" ht="21" x14ac:dyDescent="0.3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</row>
    <row r="26" spans="1:52" ht="21" x14ac:dyDescent="0.35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</row>
  </sheetData>
  <pageMargins left="0.7" right="0.7" top="0.75" bottom="0.75" header="0.3" footer="0.3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EE39D-0DDF-4B42-AF55-B0FBC0EF1FF5}">
  <dimension ref="A1:AY52"/>
  <sheetViews>
    <sheetView zoomScale="106" zoomScaleNormal="106" workbookViewId="0">
      <selection activeCell="P15" sqref="P15"/>
    </sheetView>
  </sheetViews>
  <sheetFormatPr baseColWidth="10" defaultRowHeight="15" x14ac:dyDescent="0.25"/>
  <cols>
    <col min="1" max="1" width="32.28515625" customWidth="1"/>
    <col min="2" max="26" width="12.7109375" customWidth="1"/>
  </cols>
  <sheetData>
    <row r="1" spans="1:33" ht="18" x14ac:dyDescent="0.25">
      <c r="A1" s="327"/>
      <c r="B1" s="262"/>
      <c r="C1" s="327">
        <v>10</v>
      </c>
      <c r="D1" s="327">
        <v>8</v>
      </c>
      <c r="E1" s="327"/>
      <c r="F1" s="327"/>
      <c r="G1" s="327">
        <v>8</v>
      </c>
      <c r="H1" s="327"/>
      <c r="I1" s="327"/>
      <c r="J1" s="327"/>
      <c r="K1" s="327"/>
      <c r="L1" s="327">
        <v>10</v>
      </c>
      <c r="M1" s="327"/>
      <c r="N1" s="327">
        <v>8</v>
      </c>
      <c r="O1" s="327">
        <v>0.66600000000000004</v>
      </c>
      <c r="P1" s="327"/>
      <c r="Q1" s="327">
        <v>0.33300000000000002</v>
      </c>
      <c r="R1" s="327"/>
      <c r="S1" s="66"/>
      <c r="T1" s="66"/>
      <c r="U1" s="66"/>
      <c r="V1" s="66"/>
      <c r="W1" s="66"/>
      <c r="X1" s="66"/>
      <c r="Y1" s="66"/>
    </row>
    <row r="2" spans="1:33" ht="18" x14ac:dyDescent="0.25">
      <c r="A2" s="333" t="s">
        <v>301</v>
      </c>
      <c r="B2" s="262"/>
      <c r="C2" s="262">
        <v>10</v>
      </c>
      <c r="D2" s="262">
        <v>8</v>
      </c>
      <c r="E2" s="262"/>
      <c r="F2" s="262"/>
      <c r="G2" s="262">
        <v>22</v>
      </c>
      <c r="H2" s="262"/>
      <c r="I2" s="262"/>
      <c r="J2" s="262"/>
      <c r="K2" s="262"/>
      <c r="L2" s="262">
        <v>10</v>
      </c>
      <c r="M2" s="262"/>
      <c r="N2" s="262">
        <v>8</v>
      </c>
      <c r="O2" s="262">
        <v>0.66600000000000004</v>
      </c>
      <c r="P2" s="262"/>
      <c r="Q2" s="262">
        <v>0.33329999999999999</v>
      </c>
      <c r="R2" s="262"/>
      <c r="S2" s="262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</row>
    <row r="3" spans="1:33" ht="26.25" x14ac:dyDescent="0.4">
      <c r="A3" s="278"/>
      <c r="B3" s="279" t="s">
        <v>14</v>
      </c>
      <c r="C3" s="279" t="s">
        <v>15</v>
      </c>
      <c r="D3" s="279" t="s">
        <v>8</v>
      </c>
      <c r="E3" s="279" t="s">
        <v>9</v>
      </c>
      <c r="F3" s="279" t="s">
        <v>234</v>
      </c>
      <c r="G3" s="279" t="s">
        <v>56</v>
      </c>
      <c r="H3" s="279" t="s">
        <v>57</v>
      </c>
      <c r="I3" s="279" t="s">
        <v>58</v>
      </c>
      <c r="J3" s="279" t="s">
        <v>77</v>
      </c>
      <c r="K3" s="279" t="s">
        <v>204</v>
      </c>
      <c r="L3" s="279" t="s">
        <v>16</v>
      </c>
      <c r="M3" s="279" t="s">
        <v>13</v>
      </c>
      <c r="N3" s="279" t="s">
        <v>44</v>
      </c>
      <c r="O3" s="279" t="s">
        <v>55</v>
      </c>
      <c r="P3" s="279" t="s">
        <v>17</v>
      </c>
      <c r="Q3" s="279" t="s">
        <v>80</v>
      </c>
      <c r="R3" s="279" t="s">
        <v>81</v>
      </c>
      <c r="S3" s="279" t="s">
        <v>82</v>
      </c>
      <c r="T3" s="263" t="s">
        <v>83</v>
      </c>
      <c r="U3" s="263" t="s">
        <v>45</v>
      </c>
      <c r="V3" s="263" t="s">
        <v>43</v>
      </c>
      <c r="W3" s="263" t="s">
        <v>300</v>
      </c>
      <c r="X3" s="263" t="s">
        <v>0</v>
      </c>
      <c r="Y3" s="263" t="s">
        <v>11</v>
      </c>
      <c r="Z3" s="263" t="s">
        <v>10</v>
      </c>
    </row>
    <row r="4" spans="1:33" ht="25.5" x14ac:dyDescent="0.35">
      <c r="A4" s="317" t="s">
        <v>265</v>
      </c>
      <c r="B4" s="280">
        <f>100-C4-D4-E4-F4-G4-H4-I4-J4-K4-L4-M4-N4-O4-P4-Q4-R4-S4-T4-U4-V4-W4-X4-Y4-Z4</f>
        <v>94.328499999999991</v>
      </c>
      <c r="C4" s="281">
        <v>0.89</v>
      </c>
      <c r="D4" s="281">
        <v>1.43</v>
      </c>
      <c r="E4" s="281">
        <v>0</v>
      </c>
      <c r="F4" s="281">
        <v>0</v>
      </c>
      <c r="G4" s="281">
        <v>0.2</v>
      </c>
      <c r="H4" s="281">
        <v>5.0000000000000001E-3</v>
      </c>
      <c r="I4" s="281">
        <v>1E-3</v>
      </c>
      <c r="J4" s="281">
        <v>1E-3</v>
      </c>
      <c r="K4" s="281">
        <v>1.5E-3</v>
      </c>
      <c r="L4" s="281">
        <v>1.6</v>
      </c>
      <c r="M4" s="281">
        <v>1E-3</v>
      </c>
      <c r="N4" s="281">
        <v>1.3</v>
      </c>
      <c r="O4" s="281">
        <v>0.19</v>
      </c>
      <c r="P4" s="281">
        <v>0</v>
      </c>
      <c r="Q4" s="281">
        <v>5.1999999999999998E-2</v>
      </c>
      <c r="R4" s="281"/>
      <c r="S4" s="281"/>
      <c r="T4" s="264"/>
      <c r="U4" s="264"/>
      <c r="V4" s="264"/>
      <c r="W4" s="264"/>
      <c r="X4" s="264"/>
      <c r="Y4" s="264"/>
      <c r="Z4" s="264"/>
    </row>
    <row r="5" spans="1:33" x14ac:dyDescent="0.25">
      <c r="A5" s="318" t="s">
        <v>266</v>
      </c>
      <c r="B5" s="282">
        <f>100-SUM(C5:Z5)</f>
        <v>94.96</v>
      </c>
      <c r="C5" s="282">
        <v>0.8</v>
      </c>
      <c r="D5" s="282">
        <v>1.3</v>
      </c>
      <c r="E5" s="282">
        <v>0</v>
      </c>
      <c r="F5" s="282">
        <v>0</v>
      </c>
      <c r="G5" s="282">
        <v>0.19</v>
      </c>
      <c r="H5" s="282">
        <v>0</v>
      </c>
      <c r="I5" s="282">
        <v>0</v>
      </c>
      <c r="J5" s="282">
        <v>0</v>
      </c>
      <c r="K5" s="282">
        <v>0</v>
      </c>
      <c r="L5" s="282">
        <v>1.5</v>
      </c>
      <c r="M5" s="282">
        <v>0</v>
      </c>
      <c r="N5" s="282">
        <v>1.1000000000000001</v>
      </c>
      <c r="O5" s="282">
        <v>0.15</v>
      </c>
      <c r="P5" s="282">
        <v>0</v>
      </c>
      <c r="Q5" s="282">
        <v>0</v>
      </c>
      <c r="R5" s="282">
        <v>0</v>
      </c>
      <c r="S5" s="282">
        <v>0</v>
      </c>
      <c r="T5" s="261">
        <v>0</v>
      </c>
      <c r="U5" s="261">
        <v>0</v>
      </c>
      <c r="V5" s="261">
        <v>0</v>
      </c>
      <c r="W5" s="261">
        <v>0</v>
      </c>
      <c r="X5" s="261">
        <v>0</v>
      </c>
      <c r="Y5" s="261">
        <v>0</v>
      </c>
      <c r="Z5" s="261">
        <v>0</v>
      </c>
    </row>
    <row r="6" spans="1:33" x14ac:dyDescent="0.25">
      <c r="A6" s="318" t="s">
        <v>267</v>
      </c>
      <c r="B6" s="282">
        <f>100-SUM(C6:Z6)</f>
        <v>92.529200000000003</v>
      </c>
      <c r="C6" s="282">
        <v>0.9</v>
      </c>
      <c r="D6" s="282">
        <v>1.5</v>
      </c>
      <c r="E6" s="282">
        <v>1.2</v>
      </c>
      <c r="F6" s="282">
        <v>5.0000000000000001E-4</v>
      </c>
      <c r="G6" s="282">
        <v>0.22</v>
      </c>
      <c r="H6" s="282">
        <v>0.01</v>
      </c>
      <c r="I6" s="282">
        <v>2E-3</v>
      </c>
      <c r="J6" s="282">
        <v>0.01</v>
      </c>
      <c r="K6" s="282">
        <v>5.0000000000000001E-3</v>
      </c>
      <c r="L6" s="282">
        <v>1.8</v>
      </c>
      <c r="M6" s="282">
        <v>3.0000000000000001E-3</v>
      </c>
      <c r="N6" s="282">
        <v>1.3</v>
      </c>
      <c r="O6" s="282">
        <v>0.25</v>
      </c>
      <c r="P6" s="282">
        <v>0.05</v>
      </c>
      <c r="Q6" s="282">
        <v>0.1</v>
      </c>
      <c r="R6" s="282">
        <v>0.05</v>
      </c>
      <c r="S6" s="282">
        <v>0.05</v>
      </c>
      <c r="T6" s="261">
        <v>5.0000000000000001E-3</v>
      </c>
      <c r="U6" s="261">
        <v>5.0000000000000001E-3</v>
      </c>
      <c r="V6" s="261">
        <v>5.0000000000000001E-3</v>
      </c>
      <c r="W6" s="261">
        <v>5.0000000000000001E-3</v>
      </c>
      <c r="X6" s="261">
        <v>1E-4</v>
      </c>
      <c r="Y6" s="261">
        <v>1E-4</v>
      </c>
      <c r="Z6" s="261">
        <v>1E-4</v>
      </c>
    </row>
    <row r="7" spans="1:33" ht="18" x14ac:dyDescent="0.25">
      <c r="A7" s="319"/>
      <c r="B7" s="283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3"/>
      <c r="N7" s="283"/>
      <c r="O7" s="283"/>
      <c r="P7" s="283"/>
      <c r="Q7" s="283"/>
      <c r="R7" s="283"/>
      <c r="S7" s="283"/>
      <c r="T7" s="262"/>
      <c r="U7" s="262"/>
      <c r="V7" s="262"/>
      <c r="W7" s="262"/>
      <c r="X7" s="262"/>
      <c r="Y7" s="262"/>
      <c r="Z7" s="262"/>
      <c r="AA7" s="36"/>
      <c r="AB7" s="36"/>
    </row>
    <row r="8" spans="1:33" ht="26.25" x14ac:dyDescent="0.4">
      <c r="A8" s="320"/>
      <c r="B8" s="279" t="s">
        <v>14</v>
      </c>
      <c r="C8" s="279" t="s">
        <v>15</v>
      </c>
      <c r="D8" s="279" t="s">
        <v>8</v>
      </c>
      <c r="E8" s="279" t="s">
        <v>9</v>
      </c>
      <c r="F8" s="279" t="s">
        <v>234</v>
      </c>
      <c r="G8" s="279" t="s">
        <v>56</v>
      </c>
      <c r="H8" s="279" t="s">
        <v>57</v>
      </c>
      <c r="I8" s="279" t="s">
        <v>58</v>
      </c>
      <c r="J8" s="279" t="s">
        <v>77</v>
      </c>
      <c r="K8" s="279" t="s">
        <v>204</v>
      </c>
      <c r="L8" s="279" t="s">
        <v>16</v>
      </c>
      <c r="M8" s="279" t="s">
        <v>13</v>
      </c>
      <c r="N8" s="279" t="s">
        <v>44</v>
      </c>
      <c r="O8" s="279" t="s">
        <v>55</v>
      </c>
      <c r="P8" s="279" t="s">
        <v>17</v>
      </c>
      <c r="Q8" s="279" t="s">
        <v>80</v>
      </c>
      <c r="R8" s="279" t="s">
        <v>81</v>
      </c>
      <c r="S8" s="279" t="s">
        <v>82</v>
      </c>
      <c r="T8" s="263" t="s">
        <v>83</v>
      </c>
      <c r="U8" s="263" t="s">
        <v>45</v>
      </c>
      <c r="V8" s="263" t="s">
        <v>43</v>
      </c>
      <c r="W8" s="263" t="s">
        <v>300</v>
      </c>
      <c r="X8" s="263" t="s">
        <v>0</v>
      </c>
      <c r="Y8" s="263" t="s">
        <v>11</v>
      </c>
      <c r="Z8" s="263" t="s">
        <v>10</v>
      </c>
    </row>
    <row r="9" spans="1:33" ht="38.25" x14ac:dyDescent="0.4">
      <c r="A9" s="321" t="s">
        <v>268</v>
      </c>
      <c r="B9" s="307">
        <f>100-C9-D9-E9-F9-G9-H9-I9-J9-K9-L9-M9-N9-O9-P9-Q9-R9-S9-T9-U9-V9-W9-X9-Y9-Z9</f>
        <v>93.598807806106706</v>
      </c>
      <c r="C9" s="307">
        <f>IF('opt 1'!A3&gt;='1.0330_3'!B4,'Tab1EQ 1_1'!C19,IF('opt 1'!A3&gt;='1.0330_3'!B5,'Tab1EQ opt2_1'!C19,IF('opt 1'!A3&gt;='1.0330_3'!B6,'Tab1EQ 3_1'!C19,IF('opt 1'!A3&gt;='1.0330_3'!B7,'Tab1EQ 4_1'!C19,IF('opt 1'!A3&gt;='1.0330_3'!B8,'Tab1EQ 5_1'!C19,IF('opt 1'!A3&gt;='1.0330_3'!B9,'Tab1EQ 6_1'!C19,IF('opt 1'!A3&gt;='1.0330_3'!B10,'Tab1EQ 7_1'!C19,IF('opt 1'!A3&gt;='1.0330_3'!B11,'Tab1EQ 8_1'!C19,IF('opt 1'!A3&gt;='1.0330_3'!B12,'Tab1EQ 9_1'!C19,IF('opt 1'!A3&gt;='1.0330_3'!B13,'Tab1EQ 10_1'!C19,IF('opt 1'!A3&gt;='1.0330_3'!B14,'Tab1EQ 11_1'!C19,IF('opt 1'!A3&gt;='1.0330_3'!B15,'Tab1EQ 12_1'!C19,IF('opt 1'!A3&gt;='1.0330_3'!B16,'Tab1EQ 13_1'!C19,"")))))))))))))</f>
        <v>0.8717917293387516</v>
      </c>
      <c r="D9" s="307">
        <f>IF('opt 1'!A3&gt;='1.0330_3'!B4,'Tab1EQ 1_1'!D19,IF('opt 1'!A3&gt;='1.0330_3'!B5,'Tab1EQ opt2_1'!D19,IF('opt 1'!A3&gt;='1.0330_3'!B6,'Tab1EQ 3_1'!D19,IF('opt 1'!A3&gt;='1.0330_3'!B7,'Tab1EQ 4_1'!D19,IF('opt 1'!A3&gt;='1.0330_3'!B8,'Tab1EQ 5_1'!D19,IF('opt 1'!A3&gt;='1.0330_3'!B9,'Tab1EQ 6_1'!D19,IF('opt 1'!A3&gt;='1.0330_3'!B10,'Tab1EQ 7_1'!D19,IF('opt 1'!A3&gt;='1.0330_3'!B11,'Tab1EQ 8_1'!D19,IF('opt 1'!A3&gt;='1.0330_3'!B12,'Tab1EQ 9_1'!D19,IF('opt 1'!A3&gt;='1.0330_3'!B13,'Tab1EQ 10_1'!D19,IF('opt 1'!A3&gt;='1.0330_3'!B14,'Tab1EQ 11_1'!D19,IF('opt 1'!A3&gt;='1.0330_3'!B15,'Tab1EQ 12_1'!D19,IF('opt 1'!A3&gt;='1.0330_3'!B16,'Tab1EQ 13_1'!D19,"")))))))))))))</f>
        <v>1.4575042833282961</v>
      </c>
      <c r="E9" s="307">
        <f>IF('opt 1'!A3&gt;='1.0330_3'!B4,'Tab1EQ 1_1'!E19,IF('opt 1'!A3&gt;='1.0330_3'!B5,'Tab1EQ opt2_1'!E19,IF('opt 1'!A3&gt;='1.0330_3'!B6,'Tab1EQ 3_1'!E19,IF('opt 1'!A3&gt;='1.0330_3'!B7,'Tab1EQ 4_1'!E19,IF('opt 1'!A3&gt;='1.0330_3'!B8,'Tab1EQ 5_1'!E19,IF('opt 1'!A3&gt;='1.0330_3'!B9,'Tab1EQ 6_1'!E19,IF('opt 1'!A3&gt;='1.0330_3'!B10,'Tab1EQ 7_1'!E19,IF('opt 1'!A3&gt;='1.0330_3'!B11,'Tab1EQ 8_1'!E19,IF('opt 1'!A3&gt;='1.0330_3'!B12,'Tab1EQ 9_1'!E19,IF('opt 1'!A3&gt;='1.0330_3'!B13,'Tab1EQ 10_1'!E19,IF('opt 1'!A3&gt;='1.0330_3'!B14,'Tab1EQ 11_1'!E19,IF('opt 1'!A3&gt;='1.0330_3'!B15,'Tab1EQ 12_1'!E19,IF('opt 1'!A3&gt;='1.0330_3'!B16,'Tab1EQ 13_1'!E19,"")))))))))))))</f>
        <v>0</v>
      </c>
      <c r="F9" s="307">
        <f>IF('opt 1'!A3&gt;='1.0330_3'!B4,'Tab1EQ 1_1'!F19,IF('opt 1'!A3&gt;='1.0330_3'!B5,'Tab1EQ opt2_1'!F19,IF('opt 1'!A3&gt;='1.0330_3'!B6,'Tab1EQ 3_1'!F19,IF('opt 1'!A3&gt;='1.0330_3'!B7,'Tab1EQ 4_1'!F19,IF('opt 1'!A3&gt;='1.0330_3'!B8,'Tab1EQ 5_1'!F19,IF('opt 1'!A3&gt;='1.0330_3'!B9,'Tab1EQ 6_1'!F19,IF('opt 1'!A3&gt;='1.0330_3'!B10,'Tab1EQ 7_1'!F19,IF('opt 1'!A3&gt;='1.0330_3'!B11,'Tab1EQ 8_1'!F19,IF('opt 1'!A3&gt;='1.0330_3'!B12,'Tab1EQ 9_1'!F19,IF('opt 1'!A3&gt;='1.0330_3'!B13,'Tab1EQ 10_1'!F19,IF('opt 1'!A3&gt;='1.0330_3'!B14,'Tab1EQ 11_1'!F19,IF('opt 1'!A3&gt;='1.0330_3'!B15,'Tab1EQ 12_1'!F19,IF('opt 1'!A3&gt;='1.0330_3'!B16,'Tab1EQ 13_1'!F19,"")))))))))))))</f>
        <v>0</v>
      </c>
      <c r="G9" s="307">
        <f>IF('opt 1'!A3&gt;='1.0330_3'!B4,'Tab1EQ 1_1'!G19,IF('opt 1'!A3&gt;='1.0330_3'!B5,'Tab1EQ opt2_1'!G19,IF('opt 1'!A3&gt;='1.0330_3'!B6,'Tab1EQ 3_1'!G19,IF('opt 1'!A3&gt;='1.0330_3'!B7,'Tab1EQ 4_1'!G19,IF('opt 1'!A3&gt;='1.0330_3'!B8,'Tab1EQ 5_1'!G19,IF('opt 1'!A3&gt;='1.0330_3'!B9,'Tab1EQ 6_1'!G19,IF('opt 1'!A3&gt;='1.0330_3'!B10,'Tab1EQ 7_1'!G19,IF('opt 1'!A3&gt;='1.0330_3'!B11,'Tab1EQ 8_1'!G19,IF('opt 1'!A3&gt;='1.0330_3'!B12,'Tab1EQ 9_1'!G19,IF('opt 1'!A3&gt;='1.0330_3'!B13,'Tab1EQ 10_1'!G19,IF('opt 1'!A3&gt;='1.0330_3'!B14,'Tab1EQ 11_1'!G19,IF('opt 1'!A3&gt;='1.0330_3'!B15,'Tab1EQ 12_1'!G19,IF('opt 1'!A3&gt;='1.0330_3'!B16,'Tab1EQ 13_1'!G19,"")))))))))))))</f>
        <v>0.81481738515196134</v>
      </c>
      <c r="H9" s="325">
        <f>IF('opt 1'!A3&gt;='1.0330_3'!B4,'Tab1EQ 1_1'!H19,IF('opt 1'!A3&gt;='1.0330_3'!B5,'Tab1EQ opt2_1'!H19,IF('opt 1'!A3&gt;='1.0330_3'!B6,'Tab1EQ 3_1'!H19,IF('opt 1'!A3&gt;='1.0330_3'!B7,'Tab1EQ 4_1'!H19,IF('opt 1'!A3&gt;='1.0330_3'!B8,'Tab1EQ 5_1'!H19,IF('opt 1'!A3&gt;='1.0330_3'!B9,'Tab1EQ 6_1'!H19,IF('opt 1'!A3&gt;='1.0330_3'!B10,'Tab1EQ 7_1'!H19,IF('opt 1'!A3&gt;='1.0330_3'!B11,'Tab1EQ 8_1'!H19,IF('opt 1'!A3&gt;='1.0330_3'!B12,'Tab1EQ 9_1'!H19,IF('opt 1'!A3&gt;='1.0330_3'!B13,'Tab1EQ 10_1'!H19,IF('opt 1'!A3&gt;='1.0330_3'!B14,'Tab1EQ 11_1'!H19,IF('opt 1'!A3&gt;='1.0330_3'!B15,'Tab1EQ 12_1'!H19,IF('opt 1'!A3&gt;='1.0330_3'!B16,'Tab1EQ 13_1'!H19,"")))))))))))))</f>
        <v>5.0064370348226889E-3</v>
      </c>
      <c r="I9" s="325">
        <f>IF('opt 1'!A3&gt;='1.0330_3'!B4,'Tab1EQ 1_1'!I19,IF('opt 1'!A3&gt;='1.0330_3'!B5,'Tab1EQ opt2_1'!I19,IF('opt 1'!A3&gt;='1.0330_3'!B6,'Tab1EQ 3_1'!I19,IF('opt 1'!A3&gt;='1.0330_3'!B7,'Tab1EQ 4_1'!I19,IF('opt 1'!A3&gt;='1.0330_3'!B8,'Tab1EQ 5_1'!I19,IF('opt 1'!A3&gt;='1.0330_3'!B9,'Tab1EQ 6_1'!I19,IF('opt 1'!A3&gt;='1.0330_3'!B10,'Tab1EQ 7_1'!I19,IF('opt 1'!A3&gt;='1.0330_3'!B11,'Tab1EQ 8_1'!I19,IF('opt 1'!A3&gt;='1.0330_3'!B12,'Tab1EQ 9_1'!I19,IF('opt 1'!A3&gt;='1.0330_3'!B13,'Tab1EQ 10_1'!I19,IF('opt 1'!A3&gt;='1.0330_3'!B14,'Tab1EQ 11_1'!I19,IF('opt 1'!A3&gt;='1.0330_3'!B15,'Tab1EQ 12_1'!I19,IF('opt 1'!A3&gt;='1.0330_3'!B16,'Tab1EQ 13_1'!I19,"")))))))))))))</f>
        <v>1.0012874069645378E-3</v>
      </c>
      <c r="J9" s="325">
        <f>IF('opt 1'!A3&gt;='1.0330_3'!B4,'Tab1EQ 1_1'!J19,IF('opt 1'!A3&gt;='1.0330_3'!B5,'Tab1EQ opt2_1'!J19,IF('opt 1'!A3&gt;='1.0330_3'!B6,'Tab1EQ 3_1'!J19,IF('opt 1'!A3&gt;='1.0330_3'!B7,'Tab1EQ 4_1'!J19,IF('opt 1'!A3&gt;='1.0330_3'!B8,'Tab1EQ 5_1'!J19,IF('opt 1'!A3&gt;='1.0330_3'!B9,'Tab1EQ 6_1'!J19,IF('opt 1'!A3&gt;='1.0330_3'!B10,'Tab1EQ 7_1'!J19,IF('opt 1'!A3&gt;='1.0330_3'!B11,'Tab1EQ 8_1'!J19,IF('opt 1'!A3&gt;='1.0330_3'!B12,'Tab1EQ 9_1'!J19,IF('opt 1'!A3&gt;='1.0330_3'!B13,'Tab1EQ 10_1'!J19,IF('opt 1'!A3&gt;='1.0330_3'!B14,'Tab1EQ 11_1'!J19,IF('opt 1'!A3&gt;='1.0330_3'!B15,'Tab1EQ 12_1'!J19,IF('opt 1'!A3&gt;='1.0330_3'!B16,'Tab1EQ 13_1'!J19,"")))))))))))))</f>
        <v>1.0012874069645376E-3</v>
      </c>
      <c r="K9" s="325">
        <f>IF('opt 1'!A3&gt;='1.0330_3'!B4,'Tab1EQ 1_1'!K19,IF('opt 1'!A3&gt;='1.0330_3'!B4,'Tab1EQ opt2_1'!K19,IF('opt 1'!A3&gt;='1.0330_3'!B5,'Tab1EQ 3_1'!K19,IF('opt 1'!A3&gt;='1.0330_3'!B6,'Tab1EQ 4_1'!K19,IF('opt 1'!A3&gt;='1.0330_3'!B7,'Tab1EQ 5_1'!K19,IF('opt 1'!A3&gt;='1.0330_3'!B8,'Tab1EQ 6_1'!K19,IF('opt 1'!A3&gt;='1.0330_3'!B10,'Tab1EQ 7_1'!K19,IF('opt 1'!A3&gt;='1.0330_3'!B11,'Tab1EQ 8_1'!K19,IF('opt 1'!A3&gt;='1.0330_3'!B12,'Tab1EQ 9_1'!K19,IF('opt 1'!A3&gt;='1.0330_3'!B13,'Tab1EQ 10_1'!K19,IF('opt 1'!A3&gt;='1.0330_3'!B14,'Tab1EQ 11_1'!K19,IF('opt 1'!A3&gt;='1.0330_3'!B15,'Tab1EQ 12_1'!K19,IF('opt 1'!A3&gt;='1.0330_3'!B16,'Tab1EQ 13_1'!K19,"")))))))))))))</f>
        <v>1.5019311104468066E-3</v>
      </c>
      <c r="L9" s="307">
        <f>IF('opt 1'!A3&gt;='1.0330_3'!B4,'Tab1EQ 1_1'!L19,IF('opt 1'!A3&gt;='1.0330_3'!B5,'Tab1EQ opt2_1'!L19,IF('opt 1'!A3&gt;='1.0330_3'!B6,'Tab1EQ 3_1'!L19,IF('opt 1'!A3&gt;='1.0330_3'!B7,'Tab1EQ 4_1'!L19,IF('opt 1'!A3&gt;='1.0330_3'!B8,'Tab1EQ 5_1'!L19,IF('opt 1'!A3&gt;='1.0330_3'!B9,'Tab1EQ 6_1'!L19,IF('opt 1'!A3&gt;='1.0330_3'!B10,'Tab1EQ 7_1'!L19,IF('opt 1'!A3&gt;='1.0330_3'!B11,'Tab1EQ 8_1'!L19,IF('opt 1'!A3&gt;='1.0330_3'!B12,'Tab1EQ 9_1'!L19,IF('opt 1'!A3&gt;='1.0330_3'!B13,'Tab1EQ 10_1'!L19,IF('opt 1'!A3&gt;='1.0330_3'!B14,'Tab1EQ 11_1'!L19,IF('opt 1'!A3&gt;='1.0330_3'!B15,'Tab1EQ 12_1'!L19,IF('opt 1'!A3&gt;='1.0330_3'!B16,'Tab1EQ 13_1'!L19,"")))))))))))))</f>
        <v>1.7053117226059147</v>
      </c>
      <c r="M9" s="307">
        <f>IF('opt 1'!A3&gt;='1.0330_3'!B4,'Tab1EQ 1_1'!M19,IF('opt 1'!A3&gt;='1.0330_3'!B5,'Tab1EQ opt2_1'!M19,IF('opt 1'!A3&gt;='1.0330_3'!B6,'Tab1EQ 3_1'!M19,IF('opt 1'!A3&gt;='1.0330_3'!B7,'Tab1EQ 4_1'!M19,IF('opt 1'!A3&gt;='1.0330_3'!B8,'Tab1EQ 5_1'!M19,IF('opt 1'!A3&gt;='1.0330_3'!B9,'Tab1EQ 6_1'!M19,IF('opt 1'!A3&gt;='1.0330_3'!B10,'Tab1EQ 7_1'!M19,IF('opt 1'!A3&gt;='1.0330_3'!B11,'Tab1EQ 8_1'!M19,IF('opt 1'!A3&gt;='1.0330_3'!B12,'Tab1EQ 9_1'!M19,IF('opt 1'!A3&gt;='1.0330_3'!B13,'Tab1EQ 10_1'!M19,IF('opt 1'!A3&gt;='1.0330_3'!B14,'Tab1EQ 11_1'!M19,IF('opt 1'!A3&gt;='1.0330_3'!B15,'Tab1EQ 12_1'!M19,IF('opt 1'!A3&gt;='1.0330_3'!B16,'Tab1EQ 13_1'!M19,"")))))))))))))</f>
        <v>1.0012874069645376E-3</v>
      </c>
      <c r="N9" s="307">
        <f>IF('opt 1'!A3&gt;='1.0330_3'!B4,'Tab1EQ 1_1'!N19,IF('opt 1'!A3&gt;='1.0330_3'!B5,'Tab1EQ opt2_1'!N19,IF('opt 1'!A3&gt;='1.0330_3'!B6,'Tab1EQ 3_1'!N19,IF('opt 1'!A3&gt;='1.0330_3'!B7,'Tab1EQ 4_1'!N19,IF('opt 1'!A3&gt;='1.0330_3'!B8,'Tab1EQ 5_1'!N19,IF('opt 1'!A3&gt;='1.0330_3'!B9,'Tab1EQ 6_1'!N19,IF('opt 1'!A3&gt;='1.0330_3'!B10,'Tab1EQ 7_1'!N19,IF('opt 1'!A3&gt;='1.0330_3'!B11,'Tab1EQ 8_1'!N19,IF('opt 1'!A3&gt;='1.0330_3'!B12,'Tab1EQ 9_1'!N19,IF('opt 1'!A3&gt;='1.0330_3'!B13,'Tab1EQ 10_1'!N19,IF('opt 1'!A3&gt;='1.0330_3'!B14,'Tab1EQ 11_1'!N19,IF('opt 1'!A3&gt;='1.0330_3'!B15,'Tab1EQ 12_1'!N19,IF('opt 1'!A3&gt;='1.0330_3'!B16,'Tab1EQ 13_1'!N19,"")))))))))))))</f>
        <v>1.2911935322602954</v>
      </c>
      <c r="O9" s="307">
        <f>IF('opt 1'!A3&gt;='1.0330_3'!B4,'Tab1EQ 1_1'!O19,IF('opt 1'!A3&gt;='1.0330_3'!B5,'Tab1EQ opt2_1'!O19,IF('opt 1'!A3&gt;='1.0330_3'!B6,'Tab1EQ 3_1'!O19,IF('opt 1'!A3&gt;='1.0330_3'!B7,'Tab1EQ 4_1'!O19,IF('opt 1'!A3&gt;='1.0330_3'!B8,'Tab1EQ 5_1'!O19,IF('opt 1'!A3&gt;='1.0330_3'!B9,'Tab1EQ 6_1'!O19,IF('opt 1'!A3&gt;='1.0330_3'!B10,'Tab1EQ 7_1'!O19,IF('opt 1'!A3&gt;='1.0330_3'!B11,'Tab1EQ 8_1'!O19,IF('opt 1'!A3&gt;='1.0330_3'!B12,'Tab1EQ 9_1'!O19,IF('opt 1'!A3&gt;='1.0330_3'!B13,'Tab1EQ 10_1'!O19,IF('opt 1'!A3&gt;='1.0330_3'!B14,'Tab1EQ 11_1'!O19,IF('opt 1'!A3&gt;='1.0330_3'!B15,'Tab1EQ 12_1'!O19,IF('opt 1'!A3&gt;='1.0330_3'!B16,'Tab1EQ 13_1'!O19,"")))))))))))))</f>
        <v>0.19835803294374477</v>
      </c>
      <c r="P9" s="306">
        <f>IF('opt 1'!A3&gt;='1.0330_3'!B4,'Tab1EQ 1_1'!P19,IF('opt 1'!A3&gt;='1.0330_3'!B5,'Tab1EQ opt2_1'!P19,IF('opt 1'!A3&gt;='1.0330_3'!B6,'Tab1EQ 3_1'!P19,IF('opt 1'!A3&gt;='1.0330_3'!B7,'Tab1EQ 4_1'!P19,IF('opt 1'!A3&gt;='1.0330_3'!B8,'Tab1EQ 5_1'!P19,IF('opt 1'!A3&gt;='1.0330_3'!B9,'Tab1EQ 6_1'!P19,IF('opt 1'!A3&gt;='1.0330_3'!B10,'Tab1EQ 7_1'!P19,IF('opt 1'!A3&gt;='1.0330_3'!B11,'Tab1EQ 8_1'!P19,IF('opt 1'!A3&gt;='1.0330_3'!B12,'Tab1EQ 9_1'!P19,IF('opt 1'!A3&gt;='1.0330_3'!B13,'Tab1EQ 10_1'!P19,IF('opt 1'!A3&gt;='1.0330_3'!B14,'Tab1EQ 11_1'!P19,IF('opt 1'!A3&gt;='1.0330_3'!B15,'Tab1EQ 12_1'!P19,IF('opt 1'!A3&gt;='1.0330_3'!B16,'Tab1EQ 13_1'!P19,"")))))))))))))</f>
        <v>0</v>
      </c>
      <c r="Q9" s="306">
        <f>IF('opt 1'!A3&gt;='1.0330_3'!B4,'Tab1EQ 1_1'!Q19,IF('opt 1'!A3&gt;='1.0330_3'!B5,'Tab1EQ opt2_1'!Q19,IF('opt 1'!A3&gt;='1.0330_3'!B6,'Tab1EQ 3_1'!Q19,IF('opt 1'!A3&gt;='1.0330_3'!B7,'Tab1EQ 4_1'!Q19,IF('opt 1'!A3&gt;='1.0330_3'!B8,'Tab1EQ 5_1'!Q19,IF('opt 1'!A3&gt;='1.0330_3'!B9,'Tab1EQ 6_1'!Q19,IF('opt 1'!A3&gt;='1.0330_3'!B10,'Tab1EQ 7_1'!Q19,IF('opt 1'!A3&gt;='1.0330_3'!B11,'Tab1EQ 8_1'!Q19,IF('opt 1'!A3&gt;='1.0330_3'!B12,'Tab1EQ 9_1'!Q19,IF('opt 1'!A3&gt;='1.0330_3'!B13,'Tab1EQ 10_1'!Q19,IF('opt 1'!A3&gt;='1.0330_3'!B14,'Tab1EQ 11_1'!Q19,IF('opt 1'!A3&gt;='1.0330_3'!B15,'Tab1EQ 12_1'!Q19,IF('opt 1'!A3&gt;='1.0330_3'!B16,'Tab1EQ 13_1'!Q19,"")))))))))))))</f>
        <v>5.2703277898170461E-2</v>
      </c>
      <c r="R9" s="306">
        <f>IF('opt 1'!A3&gt;='1.0330_3'!B4,'Tab1EQ 1_1'!R19,IF('opt 1'!A3&gt;='1.0330_3'!B5,'Tab1EQ opt2_1'!R19,IF('opt 1'!A3&gt;='1.0330_3'!B6,'Tab1EQ 3_1'!R19,IF('opt 1'!A3&gt;='1.0330_3'!B7,'Tab1EQ 4_1'!R19,IF('opt 1'!A3&gt;='1.0330_3'!B8,'Tab1EQ 5_1'!R19,IF('opt 1'!A3&gt;='1.0330_3'!B9,'Tab1EQ 6_1'!R19,IF('opt 1'!A3&gt;='1.0330_3'!B10,'Tab1EQ 7_1'!R19,IF('opt 1'!A3&gt;='1.0330_3'!B11,'Tab1EQ 8_1'!R19,IF('opt 1'!A3&gt;='1.0330_3'!B12,'Tab1EQ 9_1'!R19,IF('opt 1'!A3&gt;='1.0330_3'!B13,'Tab1EQ 10_1'!R19,IF('opt 1'!A3&gt;='1.0330_3'!B14,'Tab1EQ 11_1'!R19,IF('opt 1'!A3&gt;='1.0330_3'!B15,'Tab1EQ 12_1'!R19,IF('opt 1'!A3&gt;='1.0330_3'!B16,'Tab1EQ 13_1'!R19,"")))))))))))))</f>
        <v>0</v>
      </c>
      <c r="S9" s="306">
        <f>IF('opt 1'!A3&gt;='1.0330_3'!B4,'Tab1EQ 1_1'!S19,IF('opt 1'!A3&gt;='1.0330_3'!B5,'Tab1EQ opt2_1'!S19,IF('opt 1'!A3&gt;='1.0330_3'!B6,'Tab1EQ 3_1'!S19,IF('opt 1'!A3&gt;='1.0330_3'!B7,'Tab1EQ 4_1'!S19,IF('opt 1'!A3&gt;='1.0330_3'!B8,'Tab1EQ 5_1'!S19,IF('opt 1'!A3&gt;='1.0330_3'!B9,'Tab1EQ 6_1'!S19,IF('opt 1'!A3&gt;='1.0330_3'!B10,'Tab1EQ 7_1'!S19,IF('opt 1'!A3&gt;='1.0330_3'!B11,'Tab1EQ 8_1'!S19,IF('opt 1'!A3&gt;='1.0330_3'!B12,'Tab1EQ 9_1'!S19,IF('opt 1'!A3&gt;='1.0330_3'!B13,'Tab1EQ 10_1'!S19,IF('opt 1'!A3&gt;='1.0330_3'!B14,'Tab1EQ 11_1'!S19,IF('opt 1'!A3&gt;='1.0330_3'!B15,'Tab1EQ 12_1'!S19,IF('opt 1'!A3&gt;='1.0330_3'!B16,'Tab1EQ 13_1'!S19,"")))))))))))))</f>
        <v>0</v>
      </c>
      <c r="T9" s="308">
        <f>IF('opt 1'!A3&gt;='1.0330_3'!B4,'Tab1EQ 1_1'!T19,IF('opt 1'!A3&gt;='1.0330_3'!B5,'Tab1EQ opt2_1'!T19,IF('opt 1'!A3&gt;='1.0330_3'!B6,'Tab1EQ 3_1'!T19,IF('opt 1'!A3&gt;='1.0330_3'!B7,'Tab1EQ 4_1'!T19,IF('opt 1'!A3&gt;='1.0330_3'!B8,'Tab1EQ 5_1'!T19,IF('opt 1'!A3&gt;='1.0330_3'!B9,'Tab1EQ 6_1'!T19,IF('opt 1'!A3&gt;='1.0330_3'!B10,'Tab1EQ 7_1'!T19,IF('opt 1'!A3&gt;='1.0330_3'!B11,'Tab1EQ 8_1'!T19,IF('opt 1'!A3&gt;='1.0330_3'!B12,'Tab1EQ 9_1'!T19,IF('opt 1'!A3&gt;='1.0330_3'!B13,'Tab1EQ 10_1'!T19,IF('opt 1'!A3&gt;='1.0330_3'!B14,'Tab1EQ 11_1'!T19,IF('opt 1'!A3&gt;='1.0330_3'!B15,'Tab1EQ 12_1'!T19,IF('opt 1'!A3&gt;='1.0330_3'!B16,'Tab1EQ 13_1'!T19,"")))))))))))))</f>
        <v>0</v>
      </c>
      <c r="U9" s="308">
        <f>IF('opt 1'!A3&gt;='1.0330_3'!B4,'Tab1EQ 1_1'!U19,IF('opt 1'!A3&gt;='1.0330_3'!B5,'Tab1EQ opt2_1'!U19,IF('opt 1'!A3&gt;='1.0330_3'!B6,'Tab1EQ 3_1'!U19,IF('opt 1'!A3&gt;='1.0330_3'!B7,'Tab1EQ 4_1'!U19,IF('opt 1'!A3&gt;='1.0330_3'!B8,'Tab1EQ 5_1'!U19,IF('opt 1'!A3&gt;='1.0330_3'!B9,'Tab1EQ 6_1'!U19,IF('opt 1'!A3&gt;='1.0330_3'!B10,'Tab1EQ 7_1'!U19,IF('opt 1'!A3&gt;='1.0330_3'!B11,'Tab1EQ 8_1'!U19,IF('opt 1'!A3&gt;='1.0330_3'!B12,'Tab1EQ 9_1'!U19,IF('opt 1'!A3&gt;='1.0330_3'!B13,'Tab1EQ 10_1'!U19,IF('opt 1'!A3&gt;='1.0330_3'!B14,'Tab1EQ 11_1'!U19,IF('opt 1'!A3&gt;='1.0330_3'!B15,'Tab1EQ 12_1'!U19,IF('opt 1'!A3&gt;='1.0330_3'!B16,'Tab1EQ 13_1'!U19,"")))))))))))))</f>
        <v>0</v>
      </c>
      <c r="V9" s="308">
        <f>IF('opt 1'!A3&gt;='1.0330_3'!B4,'Tab1EQ 1_1'!V19,IF('opt 1'!A3&gt;='1.0330_3'!B5,'Tab1EQ opt2_1'!V19,IF('opt 1'!A3&gt;='1.0330_3'!B6,'Tab1EQ 3_1'!V19,IF('opt 1'!A3&gt;='1.0330_3'!B7,'Tab1EQ 4_1'!V19,IF('opt 1'!A3&gt;='1.0330_3'!B8,'Tab1EQ 5_1'!V19,IF('opt 1'!A3&gt;='1.0330_3'!B9,'Tab1EQ 6_1'!V19,IF('opt 1'!A3&gt;='1.0330_3'!B10,'Tab1EQ 7_1'!V19,IF('opt 1'!A3&gt;='1.0330_3'!B11,'Tab1EQ 8_1'!V19,IF('opt 1'!A3&gt;='1.0330_3'!B12,'Tab1EQ 9_1'!V19,IF('opt 1'!A3&gt;='1.0330_3'!B13,'Tab1EQ 10_1'!V19,IF('opt 1'!A3&gt;='1.0330_3'!B14,'Tab1EQ 11_1'!V19,IF('opt 1'!A3&gt;='1.0330_3'!B15,'Tab1EQ 12_1'!V19,IF('opt 1'!A3&gt;='1.0330_3'!B16,'Tab1EQ 13_1'!V19,"")))))))))))))</f>
        <v>0</v>
      </c>
      <c r="W9" s="308">
        <f>IF('opt 1'!A3&gt;='1.0330_3'!B4,'Tab1EQ 1_1'!W19,IF('opt 1'!A3&gt;='1.0330_3'!B5,'Tab1EQ opt2_1'!W19,IF('opt 1'!A3&gt;='1.0330_3'!B6,'Tab1EQ 3_1'!W19,IF('opt 1'!A3&gt;='1.0330_3'!B7,'Tab1EQ 4_1'!W19,IF('opt 1'!A3&gt;='1.0330_3'!B8,'Tab1EQ 5_1'!W19,IF('opt 1'!A3&gt;='1.0330_3'!B9,'Tab1EQ 6_1'!W19,IF('opt 1'!A3&gt;='1.0330_3'!B10,'Tab1EQ 7_1'!W19,IF('opt 1'!A3&gt;='1.0330_3'!B11,'Tab1EQ 8_1'!W19,IF('opt 1'!A3&gt;='1.0330_3'!B12,'Tab1EQ 9_1'!W19,IF('opt 1'!A3&gt;='1.0330_3'!B13,'Tab1EQ 10_1'!W19,IF('opt 1'!A3&gt;='1.0330_3'!B14,'Tab1EQ 11_1'!W19,IF('opt 1'!A3&gt;='1.0330_3'!B15,'Tab1EQ 12_1'!W19,IF('opt 1'!A3&gt;='1.0330_3'!B16,'Tab1EQ 13_1'!W19,"")))))))))))))</f>
        <v>0</v>
      </c>
      <c r="X9" s="308">
        <f>IF('opt 1'!A3&gt;='1.0330_3'!B4,'Tab1EQ 1_1'!X19,IF('opt 1'!A3&gt;='1.0330_3'!B5,'Tab1EQ opt2_1'!X19,IF('opt 1'!A3&gt;='1.0330_3'!B6,'Tab1EQ 3_1'!X19,IF('opt 1'!A3&gt;='1.0330_3'!B7,'Tab1EQ 4_1'!X19,IF('opt 1'!A3&gt;='1.0330_3'!B8,'Tab1EQ 5_1'!X19,IF('opt 1'!A3&gt;='1.0330_3'!B9,'Tab1EQ 6_1'!X19,IF('opt 1'!A3&gt;='1.0330_3'!B10,'Tab1EQ 7_1'!X19,IF('opt 1'!A3&gt;='1.0330_3'!B11,'Tab1EQ 8_1'!X19,IF('opt 1'!A3&gt;='1.0330_3'!B12,'Tab1EQ 9_1'!X19,IF('opt 1'!A3&gt;='1.0330_3'!B13,'Tab1EQ 10_1'!X19,IF('opt 1'!A3&gt;='1.0330_3'!B14,'Tab1EQ 11_1'!X19,IF('opt 1'!A3&gt;='1.0330_3'!B15,'Tab1EQ 12_1'!X19,IF('opt 1'!A3&gt;='1.0330_3'!B16,'Tab1EQ 13_1'!X19,"")))))))))))))</f>
        <v>0</v>
      </c>
      <c r="Y9" s="308">
        <f>IF('opt 1'!A3&gt;='1.0330_3'!B4,'Tab1EQ 1_1'!Y19,IF('opt 1'!A3&gt;='1.0330_3'!B5,'Tab1EQ opt2_1'!Y19,IF('opt 1'!A3&gt;='1.0330_3'!B6,'Tab1EQ 3_1'!Y19,IF('opt 1'!A3&gt;='1.0330_3'!B7,'Tab1EQ 4_1'!Y19,IF('opt 1'!A3&gt;='1.0330_3'!B8,'Tab1EQ 5_1'!Y19,IF('opt 1'!A3&gt;='1.0330_3'!B9,'Tab1EQ 6_1'!Y19,IF('opt 1'!A3&gt;='1.0330_3'!B10,'Tab1EQ 7_1'!Y19,IF('opt 1'!A3&gt;='1.0330_3'!B11,'Tab1EQ 8_1'!Y19,IF('opt 1'!A3&gt;='1.0330_3'!B12,'Tab1EQ 9_1'!Y19,IF('opt 1'!A3&gt;='1.0330_3'!B13,'Tab1EQ 10_1'!Y19,IF('opt 1'!A3&gt;='1.0330_3'!B14,'Tab1EQ 11_1'!Y19,IF('opt 1'!A3&gt;='1.0330_3'!B15,'Tab1EQ 12_1'!Y19,IF('opt 1'!A3&gt;='1.0330_3'!B16,'Tab1EQ 13_1'!Y19,"")))))))))))))</f>
        <v>0</v>
      </c>
      <c r="Z9" s="308">
        <f>IF('opt 1'!A3&gt;='1.0330_3'!B4,'Tab1EQ 1_1'!Z19,IF('opt 1'!A3&gt;='1.0330_3'!B5,'Tab1EQ opt2_1'!Z19,IF('opt 1'!A3&gt;='1.0330_3'!B6,'Tab1EQ 3_1'!Z19,IF('opt 1'!A3&gt;='1.0330_3'!B7,'Tab1EQ 4_1'!Z19,IF('opt 1'!A3&gt;='1.0330_3'!B8,'Tab1EQ 5_1'!Z19,IF('opt 1'!A3&gt;='1.0330_3'!B9,'Tab1EQ 6_1'!Z19,IF('opt 1'!A3&gt;='1.0330_3'!B10,'Tab1EQ 7_1'!Z19,IF('opt 1'!A3&gt;='1.0330_3'!B11,'Tab1EQ 8_1'!Z19,IF('opt 1'!A3&gt;='1.0330_3'!B12,'Tab1EQ 9_1'!Z19,IF('opt 1'!A3&gt;='1.0330_3'!B13,'Tab1EQ 10_1'!Z19,IF('opt 1'!A3&gt;='1.0330_3'!B14,'Tab1EQ 11_1'!Z19,IF('opt 1'!A3&gt;='1.0330_3'!B15,'Tab1EQ 12_1'!Z19,IF('opt 1'!A3&gt;='1.0330_3'!B16,'Tab1EQ 13_1'!Z19,"")))))))))))))</f>
        <v>0</v>
      </c>
    </row>
    <row r="10" spans="1:33" x14ac:dyDescent="0.25">
      <c r="A10" s="318" t="s">
        <v>266</v>
      </c>
      <c r="B10" s="282">
        <f>100-SUM(C10:Z10)</f>
        <v>94.96</v>
      </c>
      <c r="C10" s="282">
        <v>0.8</v>
      </c>
      <c r="D10" s="282">
        <v>1.3</v>
      </c>
      <c r="E10" s="282">
        <v>0</v>
      </c>
      <c r="F10" s="282">
        <v>0</v>
      </c>
      <c r="G10" s="282">
        <v>0.19</v>
      </c>
      <c r="H10" s="282">
        <v>0</v>
      </c>
      <c r="I10" s="282">
        <v>0</v>
      </c>
      <c r="J10" s="282">
        <v>0</v>
      </c>
      <c r="K10" s="282">
        <v>0</v>
      </c>
      <c r="L10" s="282">
        <v>1.5</v>
      </c>
      <c r="M10" s="282">
        <v>0</v>
      </c>
      <c r="N10" s="282">
        <v>1.1000000000000001</v>
      </c>
      <c r="O10" s="282">
        <v>0.15</v>
      </c>
      <c r="P10" s="282">
        <v>0</v>
      </c>
      <c r="Q10" s="282">
        <v>0</v>
      </c>
      <c r="R10" s="282">
        <v>0</v>
      </c>
      <c r="S10" s="282">
        <v>0</v>
      </c>
      <c r="T10" s="261">
        <v>0</v>
      </c>
      <c r="U10" s="261">
        <v>0</v>
      </c>
      <c r="V10" s="261">
        <v>0</v>
      </c>
      <c r="W10" s="261">
        <v>0</v>
      </c>
      <c r="X10" s="261">
        <v>0</v>
      </c>
      <c r="Y10" s="261">
        <v>0</v>
      </c>
      <c r="Z10" s="261">
        <v>0</v>
      </c>
    </row>
    <row r="11" spans="1:33" x14ac:dyDescent="0.25">
      <c r="A11" s="318" t="s">
        <v>267</v>
      </c>
      <c r="B11" s="282">
        <f>100-SUM(C11:Z11)</f>
        <v>92.529200000000003</v>
      </c>
      <c r="C11" s="282">
        <v>0.9</v>
      </c>
      <c r="D11" s="282">
        <v>1.5</v>
      </c>
      <c r="E11" s="282">
        <v>1.2</v>
      </c>
      <c r="F11" s="282">
        <v>5.0000000000000001E-4</v>
      </c>
      <c r="G11" s="282">
        <v>0.22</v>
      </c>
      <c r="H11" s="282">
        <v>0.01</v>
      </c>
      <c r="I11" s="282">
        <v>2E-3</v>
      </c>
      <c r="J11" s="282">
        <v>0.01</v>
      </c>
      <c r="K11" s="282">
        <v>5.0000000000000001E-3</v>
      </c>
      <c r="L11" s="282">
        <v>1.8</v>
      </c>
      <c r="M11" s="282">
        <v>3.0000000000000001E-3</v>
      </c>
      <c r="N11" s="282">
        <v>1.3</v>
      </c>
      <c r="O11" s="282">
        <v>0.25</v>
      </c>
      <c r="P11" s="282">
        <v>0.05</v>
      </c>
      <c r="Q11" s="282">
        <v>0.1</v>
      </c>
      <c r="R11" s="282">
        <v>0.05</v>
      </c>
      <c r="S11" s="282">
        <v>0.05</v>
      </c>
      <c r="T11" s="261">
        <v>5.0000000000000001E-3</v>
      </c>
      <c r="U11" s="261">
        <v>5.0000000000000001E-3</v>
      </c>
      <c r="V11" s="261">
        <v>5.0000000000000001E-3</v>
      </c>
      <c r="W11" s="261">
        <v>5.0000000000000001E-3</v>
      </c>
      <c r="X11" s="261">
        <v>1E-4</v>
      </c>
      <c r="Y11" s="261">
        <v>1E-4</v>
      </c>
      <c r="Z11" s="261">
        <v>1E-4</v>
      </c>
    </row>
    <row r="12" spans="1:33" ht="26.25" x14ac:dyDescent="0.4">
      <c r="A12" s="319"/>
      <c r="B12" s="283"/>
      <c r="C12" s="284"/>
      <c r="D12" s="284"/>
      <c r="E12" s="284"/>
      <c r="F12" s="284"/>
      <c r="G12" s="334" t="s">
        <v>271</v>
      </c>
      <c r="H12" s="335"/>
      <c r="I12" s="335"/>
      <c r="J12" s="335"/>
      <c r="K12" s="335"/>
      <c r="L12" s="335"/>
      <c r="M12" s="336"/>
      <c r="N12" s="285"/>
      <c r="O12" s="285"/>
      <c r="P12" s="285"/>
      <c r="Q12" s="285"/>
      <c r="R12" s="284"/>
      <c r="S12" s="284"/>
    </row>
    <row r="13" spans="1:33" ht="28.5" x14ac:dyDescent="0.45">
      <c r="A13" s="322" t="s">
        <v>269</v>
      </c>
      <c r="B13" s="328">
        <v>1000</v>
      </c>
      <c r="C13" s="286"/>
      <c r="D13" s="284"/>
      <c r="E13" s="284"/>
      <c r="F13" s="284"/>
      <c r="G13" s="303" t="s">
        <v>14</v>
      </c>
      <c r="H13" s="303" t="s">
        <v>15</v>
      </c>
      <c r="I13" s="303" t="s">
        <v>56</v>
      </c>
      <c r="J13" s="303" t="s">
        <v>16</v>
      </c>
      <c r="K13" s="303" t="s">
        <v>55</v>
      </c>
      <c r="L13" s="303" t="s">
        <v>44</v>
      </c>
      <c r="M13" s="303" t="s">
        <v>8</v>
      </c>
      <c r="N13" s="285"/>
      <c r="O13" s="285"/>
      <c r="P13" s="285"/>
      <c r="Q13" s="285"/>
      <c r="R13" s="284"/>
      <c r="S13" s="284"/>
    </row>
    <row r="14" spans="1:33" ht="26.25" x14ac:dyDescent="0.4">
      <c r="A14" s="322" t="s">
        <v>270</v>
      </c>
      <c r="B14" s="329">
        <f>B13+SUM(G14:L14)+A25</f>
        <v>1020.8101913831654</v>
      </c>
      <c r="C14" s="286"/>
      <c r="D14" s="286"/>
      <c r="E14" s="284"/>
      <c r="F14" s="284"/>
      <c r="G14" s="304">
        <f>IF('opt 1'!A3&gt;='1.0330_3'!B4,'opt 1'!O9,IF('opt 1'!A3&gt;='1.0330_3'!B5,'opt 2'!O9,IF('opt 1'!A3&gt;='1.0330_3'!B6,'opt 3'!O9,IF('opt 1'!A3&gt;='1.0330_3'!B7,'opt 4'!O9,IF('opt 1'!A3&gt;='1.0330_3'!B8,'opt 5'!O9,IF('opt 1'!A3&gt;='1.0330_3'!B9,'opt 6'!O9,IF('opt 1'!A3&gt;='1.0330_3'!B10,'opt 7'!O9,IF('opt 1'!A3&gt;='1.0330_3'!B11,'opt 8'!O9,IF('opt 1'!A3&gt;='1.0330_3'!B12,'opt 9'!O9,IF('opt 1'!A3&gt;='1.0330_3'!B13,'opt 10'!O9,IF('opt 1'!A3&gt;='1.0330_3'!B14,'opt 11'!O9,IF('opt 1'!A3&gt;='1.0330_3'!B15,'opt 12'!O9,IF('opt 1'!A3&gt;='1.0330_3'!B16,'opt 13'!O9,"")))))))))))))</f>
        <v>12.252666534334935</v>
      </c>
      <c r="H14" s="304" t="str">
        <f>IF('opt 1'!A3&gt;='1.0330_3'!B4,'opt 1'!O10,IF('opt 1'!A3&gt;='1.0330_3'!B5,'opt 2'!O10,IF('opt 1'!A3&gt;='1.0330_3'!B6,'opt 3'!O10,IF('opt 1'!A3&gt;='1.0330_3'!B7,'opt 4'!O10,IF('opt 1'!A3&gt;='1.0330_3'!B8,'opt 5'!O10,IF('opt 1'!A3&gt;='1.0330_3'!B9,'opt 6'!O10,IF('opt 1'!A3&gt;='1.0330_3'!B10,'opt 7'!O10,IF('opt 1'!A3&gt;='1.0330_3'!B11,'opt 8'!O10,IF('opt 1'!A3&gt;='1.0330_3'!B12,'opt 9'!O10,IF('opt 1'!A3&gt;='1.0330_3'!B13,'opt 10'!O10,IF('opt 1'!A3&gt;='1.0330_3'!B14,'opt 11'!O10,IF('opt 1'!A3&gt;='1.0330_3'!B15,'opt 12'!O10,IF('opt 1'!A3&gt;='1.0330_3'!B16,0.000001)))))))))))))</f>
        <v/>
      </c>
      <c r="I14" s="304">
        <f>IF('opt 1'!A3&gt;='1.0330_3'!B4,'opt 1'!O14,IF('opt 1'!A3&gt;='1.0330_3'!B5,'opt 2'!O14,IF('opt 1'!A3&gt;='1.0330_3'!B6,'opt 3'!O14,IF('opt 1'!A3&gt;='1.0330_3'!B7,'opt 4'!O14,IF('opt 1'!A3&gt;='1.0330_3'!B8,'opt 5'!O14,IF('opt 1'!A3&gt;='1.0330_3'!B9,'opt 6'!O14,IF('opt 1'!A3&gt;='1.0330_3'!B10,'opt 7'!O14,IF('opt 1'!A3&gt;='1.0330_3'!B11,'opt 8'!O14,IF('opt 1'!A3&gt;='1.0330_3'!B12,'opt 9'!O14,IF('opt 1'!A3&gt;='1.0330_3'!B13,'opt 10'!O14,IF('opt 1'!A3&gt;='1.0330_3'!B14,'opt 11'!O14,IF('opt 1'!A3&gt;='1.0330_3'!B15,'opt 12'!O14,IF('opt 1'!A3&gt;='1.0330_3'!B16,'opt 13'!O14,"")))))))))))))</f>
        <v>6.3198039113032234</v>
      </c>
      <c r="J14" s="304">
        <f>IF('opt 1'!A3&gt;='1.0330_3'!B4,'opt 1'!O19,IF('opt 1'!A3&gt;='1.0330_3'!B5,'opt 2'!O19,IF('opt 1'!A3&gt;='1.0330_3'!B6,'opt 3'!O19,IF('opt 1'!A3&gt;='1.0330_3'!B7,'opt 4'!O19,IF('opt 1'!A3&gt;='1.0330_3'!B8,'opt 5'!O19,IF('opt 1'!A3&gt;='1.0330_3'!B9,'opt 6'!O19,IF('opt 1'!A3&gt;='1.0330_3'!B10,'opt 7'!O19,IF('opt 1'!A3&gt;='1.0330_3'!B11,'opt 8'!O19,IF('opt 1'!A3&gt;='1.0330_3'!B12,'opt 9'!O19,IF('opt 1'!A3&gt;='1.0330_3'!B13,'opt 10'!O19,IF('opt 1'!A3&gt;='1.0330_3'!B14,'opt 11'!O19,IF('opt 1'!A3&gt;='1.0330_3'!B15,'opt 12'!O19,IF('opt 1'!A3&gt;='1.0330_3'!B16,'opt 13'!O19,"")))))))))))))</f>
        <v>1.4093479422119302</v>
      </c>
      <c r="K14" s="305">
        <f>IF('opt 1'!A3&gt;='1.0330_3'!B4,'opt 1'!O22,IF('opt 1'!A3&gt;='1.0330_3'!B5,'opt 2'!O22,IF('opt 1'!A3&gt;='1.0330_3'!B6,'opt 3'!O22,IF('opt 1'!A3&gt;='1.0330_3'!B7,'opt 4'!O22,IF('opt 1'!A3&gt;='1.0330_3'!B8,'opt 5'!O22,IF('opt 1'!A3&gt;='1.0330_3'!B9,'opt 6'!O22,IF('opt 1'!A3&gt;='1.0330_3'!B10,'opt 7'!O22,IF('opt 1'!A3&gt;='1.0330_3'!B11,'opt 8'!O22,IF('opt 1'!A3&gt;='1.0330_3'!B12,'opt 9'!O22,IF('opt 1'!A3&gt;='1.0330_3'!B13,'opt 10'!O22,IF('opt 1'!A3&gt;='1.0330_3'!B14,'opt 11'!O22,IF('opt 1'!A3&gt;='1.0330_3'!B15,'opt 12'!O22,IF('opt 1'!A3&gt;='1.0330_3'!B16,'opt 13'!O22,"")))))))))))))</f>
        <v>0.12501466465581612</v>
      </c>
      <c r="L14" s="304">
        <f>IF('opt 1'!A3&gt;='1.0330_3'!B4,'opt 1'!O21,IF('opt 1'!A3&gt;='1.0330_3'!B5,'opt 2'!O21,IF('opt 1'!A3&gt;='1.0330_3'!B6,'opt 3'!O21,IF('opt 1'!A3&gt;='1.0330_3'!B7,'opt 4'!O21,IF('opt 1'!A3&gt;='1.0330_3'!B8,'opt 5'!O21,IF('opt 1'!A3&gt;='1.0330_3'!B9,'opt 6'!O21,IF('opt 1'!A3&gt;='1.0330_3'!B10,'opt 7'!O21,IF('opt 1'!A3&gt;='1.0330_3'!B11,'opt 8'!O21,IF('opt 1'!A3&gt;='1.0330_3'!B12,'opt 9'!O21,IF('opt 1'!A3&gt;='1.0330_3'!B13,'opt 10'!O21,IF('opt 1'!A3&gt;='1.0330_3'!B14,'opt 11'!O21,IF('opt 1'!A3&gt;='1.0330_3'!B15,'opt 12'!O21,IF('opt 1'!A3&gt;='1.0330_3'!B16,'opt 13'!O21,"")))))))))))))</f>
        <v>0.18162199849419558</v>
      </c>
      <c r="M14" s="330">
        <f>IF('opt 1'!A3&gt;='1.0330_3'!B4,'opt 1'!O11,IF('opt 1'!A3&gt;='1.0330_3'!B5,'opt 2'!O11,IF('opt 1'!A3&gt;='1.0330_3'!B6,'opt 3'!O11,IF('opt 1'!A3&gt;='1.0330_3'!B7,'opt 4'!O11,IF('opt 1'!A3&gt;='1.0330_3'!B8,'opt 5'!O11,IF('opt 1'!A3&gt;='1.0330_3'!B9,'opt 6'!O11,IF('opt 1'!A3&gt;='1.0330_3'!B10,'opt 7'!O11,IF('opt 1'!A3&gt;='1.0330_3'!B11,'opt 8'!O11,IF('opt 1'!A3&gt;='1.0330_3'!B12,'opt 9'!O11,IF('opt 1'!A3&gt;='1.0330_3'!B13,'opt 10'!O11,IF('opt 1'!A3&gt;='1.0330_3'!B14,'opt 11'!O11,IF('opt 1'!A3&gt;='1.0330_3'!B15,'opt 12'!O11,IF('opt 1'!A3&gt;='1.0330_3'!B16,'opt 13'!O11,"")))))))))))))</f>
        <v>0.57948181244770325</v>
      </c>
      <c r="N14" s="284"/>
      <c r="O14" s="284"/>
      <c r="P14" s="284"/>
      <c r="Q14" s="284"/>
      <c r="R14" s="284"/>
      <c r="S14" s="284"/>
    </row>
    <row r="15" spans="1:33" ht="23.25" x14ac:dyDescent="0.35">
      <c r="A15" s="300"/>
      <c r="B15" s="89"/>
      <c r="C15" s="331"/>
      <c r="D15" s="7"/>
      <c r="E15" s="293"/>
      <c r="G15" s="313" t="s">
        <v>14</v>
      </c>
      <c r="H15" s="314" t="s">
        <v>278</v>
      </c>
      <c r="I15" s="314" t="s">
        <v>56</v>
      </c>
      <c r="J15" s="314" t="s">
        <v>279</v>
      </c>
      <c r="K15" s="315" t="s">
        <v>288</v>
      </c>
      <c r="L15" s="316" t="s">
        <v>280</v>
      </c>
      <c r="M15" s="316" t="s">
        <v>8</v>
      </c>
    </row>
    <row r="16" spans="1:33" ht="24" thickBot="1" x14ac:dyDescent="0.4">
      <c r="A16" s="309"/>
      <c r="B16" s="89"/>
      <c r="C16" s="89"/>
      <c r="D16" s="89"/>
      <c r="E16" s="293"/>
      <c r="F16" s="293"/>
      <c r="G16" s="310">
        <f>IF(ISNUMBER(G14), G14-A25, 0)</f>
        <v>11.730930202169697</v>
      </c>
      <c r="H16" s="311">
        <f>H26</f>
        <v>1.3513513513513514E-4</v>
      </c>
      <c r="I16" s="311">
        <f>I14</f>
        <v>6.3198039113032234</v>
      </c>
      <c r="J16" s="311">
        <f>O26</f>
        <v>1.9306136194683976</v>
      </c>
      <c r="K16" s="311">
        <f>V26</f>
        <v>0.17859237807973732</v>
      </c>
      <c r="L16" s="312">
        <f>AC26</f>
        <v>0.26322028767274724</v>
      </c>
      <c r="M16" s="312">
        <f>M14</f>
        <v>0.57948181244770325</v>
      </c>
    </row>
    <row r="17" spans="1:51" ht="26.25" x14ac:dyDescent="0.4">
      <c r="A17" s="323"/>
      <c r="B17" s="89"/>
      <c r="C17" s="332"/>
      <c r="D17" s="89"/>
      <c r="G17" s="33"/>
      <c r="H17" s="296"/>
      <c r="I17" s="33"/>
      <c r="J17" s="33"/>
      <c r="K17" s="33"/>
      <c r="L17" s="33"/>
      <c r="N17" s="33"/>
      <c r="O17" s="296"/>
      <c r="P17" s="33"/>
      <c r="Q17" s="33"/>
      <c r="R17" s="33"/>
      <c r="S17" s="33"/>
      <c r="U17" s="33"/>
      <c r="V17" s="296"/>
      <c r="W17" s="33"/>
      <c r="X17" s="33"/>
      <c r="Y17" s="33"/>
    </row>
    <row r="18" spans="1:51" ht="26.25" x14ac:dyDescent="0.4">
      <c r="A18" s="89"/>
      <c r="B18" s="89"/>
      <c r="C18" s="89"/>
      <c r="D18" s="89"/>
      <c r="E18" s="293"/>
      <c r="G18" s="33"/>
      <c r="H18" s="296"/>
      <c r="I18" s="33"/>
      <c r="J18" s="33"/>
      <c r="K18" s="33"/>
      <c r="L18" s="33"/>
      <c r="N18" s="33"/>
      <c r="O18" s="33"/>
      <c r="P18" s="33"/>
      <c r="Q18" s="33"/>
      <c r="R18" s="33"/>
      <c r="S18" s="33"/>
      <c r="U18" s="33"/>
      <c r="V18" s="33"/>
      <c r="W18" s="33"/>
      <c r="X18" s="33"/>
      <c r="Y18" s="33"/>
    </row>
    <row r="19" spans="1:51" ht="26.25" x14ac:dyDescent="0.4">
      <c r="A19" s="89"/>
      <c r="B19" s="89"/>
      <c r="C19" s="332"/>
      <c r="D19" s="89"/>
      <c r="E19" s="293"/>
      <c r="G19" s="324"/>
      <c r="H19" s="33"/>
      <c r="I19" s="33"/>
      <c r="J19" s="33"/>
      <c r="K19" s="33"/>
      <c r="L19" s="33"/>
      <c r="N19" s="33"/>
      <c r="O19" s="33"/>
      <c r="P19" s="33"/>
      <c r="Q19" s="33"/>
      <c r="R19" s="33"/>
      <c r="S19" s="33"/>
      <c r="U19" s="33"/>
      <c r="V19" s="33"/>
      <c r="W19" s="33"/>
      <c r="X19" s="33"/>
      <c r="Y19" s="33"/>
    </row>
    <row r="20" spans="1:51" ht="26.25" x14ac:dyDescent="0.4">
      <c r="A20" s="89" t="str">
        <f>IF(G16=0, A25,"")</f>
        <v/>
      </c>
      <c r="B20" s="89"/>
      <c r="C20" s="89"/>
      <c r="D20" s="89"/>
      <c r="E20" s="293"/>
      <c r="G20" s="33"/>
      <c r="H20" s="33"/>
      <c r="I20" s="33"/>
      <c r="J20" s="33"/>
      <c r="K20" s="33"/>
      <c r="L20" s="33"/>
      <c r="N20" s="33"/>
      <c r="O20" s="33"/>
      <c r="P20" s="33"/>
      <c r="Q20" s="33"/>
      <c r="R20" s="33"/>
      <c r="S20" s="33"/>
      <c r="U20" s="33"/>
      <c r="V20" s="33"/>
      <c r="W20" s="33"/>
      <c r="X20" s="33"/>
      <c r="Y20" s="33"/>
    </row>
    <row r="21" spans="1:51" ht="33.75" x14ac:dyDescent="0.5">
      <c r="A21" s="301" t="s">
        <v>287</v>
      </c>
      <c r="B21" s="89"/>
      <c r="C21" s="332"/>
      <c r="D21" s="89"/>
      <c r="F21" s="297"/>
      <c r="G21" s="33" t="s">
        <v>281</v>
      </c>
      <c r="H21" s="33" t="s">
        <v>15</v>
      </c>
      <c r="I21" s="33" t="s">
        <v>12</v>
      </c>
      <c r="J21" s="33" t="s">
        <v>282</v>
      </c>
      <c r="K21" s="33"/>
      <c r="L21" s="33"/>
      <c r="M21" s="297"/>
      <c r="N21" s="33" t="s">
        <v>281</v>
      </c>
      <c r="O21" s="33" t="s">
        <v>16</v>
      </c>
      <c r="P21" s="33" t="s">
        <v>56</v>
      </c>
      <c r="Q21" s="33" t="s">
        <v>15</v>
      </c>
      <c r="R21" s="33"/>
      <c r="S21" s="33"/>
      <c r="T21" s="297"/>
      <c r="U21" s="33" t="s">
        <v>281</v>
      </c>
      <c r="V21" s="33" t="s">
        <v>55</v>
      </c>
      <c r="W21" s="33" t="s">
        <v>12</v>
      </c>
      <c r="X21" s="33" t="s">
        <v>282</v>
      </c>
      <c r="Y21" s="33"/>
      <c r="AA21" s="297"/>
      <c r="AB21" s="33" t="s">
        <v>281</v>
      </c>
      <c r="AC21" s="33" t="s">
        <v>44</v>
      </c>
      <c r="AD21" s="33" t="s">
        <v>56</v>
      </c>
      <c r="AE21" s="33" t="s">
        <v>58</v>
      </c>
      <c r="AF21" s="33"/>
      <c r="AI21" s="297"/>
      <c r="AJ21" s="33" t="s">
        <v>281</v>
      </c>
      <c r="AK21" s="33" t="s">
        <v>55</v>
      </c>
      <c r="AL21" s="33" t="s">
        <v>56</v>
      </c>
      <c r="AM21" s="33" t="s">
        <v>58</v>
      </c>
      <c r="AN21" s="33"/>
    </row>
    <row r="22" spans="1:51" ht="33.75" x14ac:dyDescent="0.5">
      <c r="A22" s="301">
        <f>IF(ISNUMBER(G14), G14-A25, 0)</f>
        <v>11.730930202169697</v>
      </c>
      <c r="B22" s="89"/>
      <c r="C22" s="89"/>
      <c r="D22" s="89"/>
      <c r="F22" s="297" t="s">
        <v>278</v>
      </c>
      <c r="G22" s="33">
        <f>100-H22-I22-J22</f>
        <v>24.33</v>
      </c>
      <c r="H22" s="33">
        <v>74</v>
      </c>
      <c r="I22" s="33">
        <v>1.42</v>
      </c>
      <c r="J22" s="33">
        <v>0.25</v>
      </c>
      <c r="K22" s="33"/>
      <c r="L22" s="33"/>
      <c r="M22" s="297" t="s">
        <v>279</v>
      </c>
      <c r="N22" s="33">
        <f>100-O22-P22-Q22</f>
        <v>20.27</v>
      </c>
      <c r="O22" s="33">
        <v>73</v>
      </c>
      <c r="P22" s="33">
        <v>6.7</v>
      </c>
      <c r="Q22" s="33">
        <v>0.03</v>
      </c>
      <c r="R22" s="33"/>
      <c r="S22" s="33"/>
      <c r="T22" s="297" t="s">
        <v>283</v>
      </c>
      <c r="U22" s="33">
        <f>100-V22-W22-X22</f>
        <v>27.47</v>
      </c>
      <c r="V22" s="33">
        <v>70</v>
      </c>
      <c r="W22" s="33">
        <v>0.77</v>
      </c>
      <c r="X22" s="33">
        <v>1.76</v>
      </c>
      <c r="Y22" s="33"/>
      <c r="AA22" s="89" t="s">
        <v>280</v>
      </c>
      <c r="AB22" s="33">
        <f>100-AC22-AD22-AE22</f>
        <v>30.89</v>
      </c>
      <c r="AC22" s="33">
        <v>69</v>
      </c>
      <c r="AD22" s="33">
        <v>0.06</v>
      </c>
      <c r="AE22" s="33">
        <v>0.05</v>
      </c>
      <c r="AF22" s="33"/>
      <c r="AI22" s="89" t="s">
        <v>280</v>
      </c>
      <c r="AJ22" s="33">
        <f>100-AK22-AL22-AM22</f>
        <v>89.89</v>
      </c>
      <c r="AK22" s="33">
        <v>10</v>
      </c>
      <c r="AL22" s="33">
        <v>0.06</v>
      </c>
      <c r="AM22" s="33">
        <v>0.05</v>
      </c>
      <c r="AN22" s="33"/>
    </row>
    <row r="23" spans="1:51" ht="31.5" x14ac:dyDescent="0.5">
      <c r="A23" s="89"/>
      <c r="B23" s="89"/>
      <c r="C23" s="332">
        <v>8</v>
      </c>
      <c r="D23" s="89">
        <v>0.28999999999999998</v>
      </c>
      <c r="F23" s="297" t="s">
        <v>284</v>
      </c>
      <c r="G23" s="33">
        <f>G22*10</f>
        <v>243.29999999999998</v>
      </c>
      <c r="H23" s="33">
        <f t="shared" ref="H23:J23" si="0">H22*10</f>
        <v>740</v>
      </c>
      <c r="I23" s="33">
        <f t="shared" si="0"/>
        <v>14.2</v>
      </c>
      <c r="J23" s="33">
        <f t="shared" si="0"/>
        <v>2.5</v>
      </c>
      <c r="K23" s="33">
        <f>SUM(G23:J23)</f>
        <v>1000</v>
      </c>
      <c r="M23" s="297" t="s">
        <v>284</v>
      </c>
      <c r="N23" s="33">
        <f>N22*10</f>
        <v>202.7</v>
      </c>
      <c r="O23" s="33">
        <f>O22*10</f>
        <v>730</v>
      </c>
      <c r="P23" s="33">
        <f>P22*10</f>
        <v>67</v>
      </c>
      <c r="Q23" s="33">
        <f t="shared" ref="Q23" si="1">Q22*10</f>
        <v>0.3</v>
      </c>
      <c r="R23" s="33">
        <f>SUM(N23:Q23)</f>
        <v>1000</v>
      </c>
      <c r="T23" s="297" t="s">
        <v>284</v>
      </c>
      <c r="U23" s="33">
        <f>U22*10</f>
        <v>274.7</v>
      </c>
      <c r="V23" s="33">
        <f t="shared" ref="V23:X23" si="2">V22*10</f>
        <v>700</v>
      </c>
      <c r="W23" s="33">
        <f t="shared" si="2"/>
        <v>7.7</v>
      </c>
      <c r="X23" s="33">
        <f t="shared" si="2"/>
        <v>17.600000000000001</v>
      </c>
      <c r="Y23" s="33">
        <f>SUM(U23:X23)</f>
        <v>1000.0000000000001</v>
      </c>
      <c r="AA23" s="89" t="s">
        <v>284</v>
      </c>
      <c r="AB23" s="33">
        <f>AB22*10</f>
        <v>308.89999999999998</v>
      </c>
      <c r="AC23" s="33">
        <f t="shared" ref="AC23:AE23" si="3">AC22*10</f>
        <v>690</v>
      </c>
      <c r="AD23" s="33">
        <f t="shared" si="3"/>
        <v>0.6</v>
      </c>
      <c r="AE23" s="33">
        <f t="shared" si="3"/>
        <v>0.5</v>
      </c>
      <c r="AF23" s="33">
        <f>SUM(AB23:AE23)</f>
        <v>1000</v>
      </c>
      <c r="AI23" s="89" t="s">
        <v>284</v>
      </c>
      <c r="AJ23" s="33">
        <f>AJ22*10</f>
        <v>898.9</v>
      </c>
      <c r="AK23" s="33">
        <f t="shared" ref="AK23:AM23" si="4">AK22*10</f>
        <v>100</v>
      </c>
      <c r="AL23" s="33">
        <f t="shared" si="4"/>
        <v>0.6</v>
      </c>
      <c r="AM23" s="33">
        <f t="shared" si="4"/>
        <v>0.5</v>
      </c>
      <c r="AN23" s="33">
        <f>SUM(AJ23:AM23)</f>
        <v>1000</v>
      </c>
    </row>
    <row r="24" spans="1:51" ht="31.5" x14ac:dyDescent="0.5">
      <c r="A24" s="89">
        <v>1E-4</v>
      </c>
      <c r="B24" s="89"/>
      <c r="C24" s="89">
        <v>9</v>
      </c>
      <c r="D24" s="89"/>
      <c r="F24" s="297" t="s">
        <v>285</v>
      </c>
      <c r="G24" s="33">
        <f>G23/1000</f>
        <v>0.24329999999999999</v>
      </c>
      <c r="H24" s="33">
        <f>H23/1000</f>
        <v>0.74</v>
      </c>
      <c r="I24" s="33">
        <f t="shared" ref="I24:J24" si="5">I23/1000</f>
        <v>1.4199999999999999E-2</v>
      </c>
      <c r="J24" s="33">
        <f t="shared" si="5"/>
        <v>2.5000000000000001E-3</v>
      </c>
      <c r="K24" s="33">
        <f>SUM(G24:J24)</f>
        <v>0.99999999999999989</v>
      </c>
      <c r="M24" s="297" t="s">
        <v>285</v>
      </c>
      <c r="N24" s="33">
        <f>N23/1000</f>
        <v>0.20269999999999999</v>
      </c>
      <c r="O24" s="33">
        <f>O23/1000</f>
        <v>0.73</v>
      </c>
      <c r="P24" s="33">
        <f>P23/1000</f>
        <v>6.7000000000000004E-2</v>
      </c>
      <c r="Q24" s="33">
        <f t="shared" ref="Q24" si="6">Q23/1000</f>
        <v>2.9999999999999997E-4</v>
      </c>
      <c r="R24" s="33">
        <f>SUM(N24:Q24)</f>
        <v>1</v>
      </c>
      <c r="T24" s="297" t="s">
        <v>285</v>
      </c>
      <c r="U24" s="33">
        <f>U23/1000</f>
        <v>0.2747</v>
      </c>
      <c r="V24" s="33">
        <f>V23/1000</f>
        <v>0.7</v>
      </c>
      <c r="W24" s="33">
        <f t="shared" ref="W24:X24" si="7">W23/1000</f>
        <v>7.7000000000000002E-3</v>
      </c>
      <c r="X24" s="33">
        <f t="shared" si="7"/>
        <v>1.7600000000000001E-2</v>
      </c>
      <c r="Y24" s="33">
        <f>SUM(U24:X24)</f>
        <v>0.99999999999999989</v>
      </c>
      <c r="AA24" s="89" t="s">
        <v>285</v>
      </c>
      <c r="AB24" s="33">
        <f>AB23/1000</f>
        <v>0.30889999999999995</v>
      </c>
      <c r="AC24" s="33">
        <f>AC23/1000</f>
        <v>0.69</v>
      </c>
      <c r="AD24" s="33">
        <f t="shared" ref="AD24:AE24" si="8">AD23/1000</f>
        <v>5.9999999999999995E-4</v>
      </c>
      <c r="AE24" s="33">
        <f t="shared" si="8"/>
        <v>5.0000000000000001E-4</v>
      </c>
      <c r="AF24" s="33">
        <f>SUM(AB24:AE24)</f>
        <v>0.99999999999999989</v>
      </c>
      <c r="AI24" s="89" t="s">
        <v>285</v>
      </c>
      <c r="AJ24" s="33">
        <f>AJ23/1000</f>
        <v>0.89890000000000003</v>
      </c>
      <c r="AK24" s="33">
        <f>AK23/1000</f>
        <v>0.1</v>
      </c>
      <c r="AL24" s="33">
        <f t="shared" ref="AL24:AM24" si="9">AL23/1000</f>
        <v>5.9999999999999995E-4</v>
      </c>
      <c r="AM24" s="33">
        <f t="shared" si="9"/>
        <v>5.0000000000000001E-4</v>
      </c>
      <c r="AN24" s="33">
        <f>SUM(AJ24:AM24)</f>
        <v>1</v>
      </c>
    </row>
    <row r="25" spans="1:51" ht="31.5" x14ac:dyDescent="0.5">
      <c r="A25" s="89">
        <f>G25+N25+U25+AB25</f>
        <v>0.52173633216523807</v>
      </c>
      <c r="B25" s="89"/>
      <c r="C25" s="332">
        <v>10</v>
      </c>
      <c r="D25" s="89"/>
      <c r="F25" s="297"/>
      <c r="G25" s="33">
        <f>G24*H26</f>
        <v>3.2878378378378379E-5</v>
      </c>
      <c r="H25" s="302">
        <f>IF(ISNUMBER(H14), H14, A24)</f>
        <v>1E-4</v>
      </c>
      <c r="I25" s="33"/>
      <c r="J25" s="33"/>
      <c r="K25" s="33"/>
      <c r="L25" s="33"/>
      <c r="M25" s="297"/>
      <c r="N25" s="33">
        <f>N24*O26</f>
        <v>0.39133538066624418</v>
      </c>
      <c r="O25" s="302">
        <f>IF(ISNUMBER(J14), J14, A24)</f>
        <v>1.4093479422119302</v>
      </c>
      <c r="P25" s="33"/>
      <c r="Q25" s="33"/>
      <c r="R25" s="33"/>
      <c r="S25" s="33"/>
      <c r="T25" s="297"/>
      <c r="U25" s="33">
        <f>U24*V26</f>
        <v>4.9059326258503844E-2</v>
      </c>
      <c r="V25" s="302">
        <f>IF(ISNUMBER(K14), K14, A24)</f>
        <v>0.12501466465581612</v>
      </c>
      <c r="W25" s="33"/>
      <c r="X25" s="33"/>
      <c r="Y25" s="33"/>
      <c r="AA25" s="297"/>
      <c r="AB25" s="33">
        <f>AB24*AC26</f>
        <v>8.1308746862111606E-2</v>
      </c>
      <c r="AC25" s="302">
        <f>IF(ISNUMBER(L14), L14, A24)</f>
        <v>0.18162199849419558</v>
      </c>
      <c r="AD25" s="33"/>
      <c r="AE25" s="33"/>
      <c r="AF25" s="33"/>
      <c r="AI25" s="297"/>
      <c r="AJ25" s="33">
        <f>AJ24*AK26</f>
        <v>1.1237568205911312</v>
      </c>
      <c r="AK25" s="298">
        <f>K14</f>
        <v>0.12501466465581612</v>
      </c>
      <c r="AL25" s="33"/>
      <c r="AM25" s="33"/>
      <c r="AN25" s="33"/>
    </row>
    <row r="26" spans="1:51" ht="31.5" x14ac:dyDescent="0.5">
      <c r="A26" s="89">
        <f>G26+N26+U26+AB26</f>
        <v>0</v>
      </c>
      <c r="C26" s="89">
        <v>11</v>
      </c>
      <c r="F26" s="297" t="s">
        <v>286</v>
      </c>
      <c r="G26" s="33">
        <f>G24*H17</f>
        <v>0</v>
      </c>
      <c r="H26" s="299">
        <f>H25/H24</f>
        <v>1.3513513513513514E-4</v>
      </c>
      <c r="I26" s="33">
        <f>I24*H17</f>
        <v>0</v>
      </c>
      <c r="J26" s="33">
        <f>J24*H17</f>
        <v>0</v>
      </c>
      <c r="K26" s="33"/>
      <c r="L26" s="33"/>
      <c r="M26" s="297" t="s">
        <v>286</v>
      </c>
      <c r="N26" s="33">
        <f>N24*O17</f>
        <v>0</v>
      </c>
      <c r="O26" s="299">
        <f>O25/O24</f>
        <v>1.9306136194683976</v>
      </c>
      <c r="P26" s="33">
        <f>P24*O17</f>
        <v>0</v>
      </c>
      <c r="Q26" s="33">
        <f>Q24*O17</f>
        <v>0</v>
      </c>
      <c r="R26" s="33"/>
      <c r="S26" s="33"/>
      <c r="T26" s="297" t="s">
        <v>286</v>
      </c>
      <c r="U26" s="33">
        <f>U24*V17</f>
        <v>0</v>
      </c>
      <c r="V26" s="299">
        <f>V25/V24</f>
        <v>0.17859237807973732</v>
      </c>
      <c r="W26" s="33">
        <f>W24*V17</f>
        <v>0</v>
      </c>
      <c r="X26" s="33">
        <f>X24*V17</f>
        <v>0</v>
      </c>
      <c r="Y26" s="33"/>
      <c r="AA26" s="297" t="s">
        <v>286</v>
      </c>
      <c r="AB26" s="33">
        <f>AB24*AC17</f>
        <v>0</v>
      </c>
      <c r="AC26" s="299">
        <f>AC25/AC24</f>
        <v>0.26322028767274724</v>
      </c>
      <c r="AD26" s="33">
        <f>AD24*AC17</f>
        <v>0</v>
      </c>
      <c r="AE26" s="33">
        <f>AE24*AC17</f>
        <v>0</v>
      </c>
      <c r="AF26" s="33"/>
      <c r="AI26" s="297" t="s">
        <v>286</v>
      </c>
      <c r="AJ26" s="33">
        <f>AJ24*AK17</f>
        <v>0</v>
      </c>
      <c r="AK26" s="299">
        <f>AK25/AK24</f>
        <v>1.2501466465581612</v>
      </c>
      <c r="AL26" s="33">
        <f>AL24*AK17</f>
        <v>0</v>
      </c>
      <c r="AM26" s="33">
        <f>AM24*AK17</f>
        <v>0</v>
      </c>
      <c r="AN26" s="33"/>
    </row>
    <row r="27" spans="1:51" ht="21" x14ac:dyDescent="0.35">
      <c r="B27" s="36"/>
      <c r="C27" s="332">
        <v>12</v>
      </c>
    </row>
    <row r="28" spans="1:51" ht="18" x14ac:dyDescent="0.25">
      <c r="B28" s="36"/>
    </row>
    <row r="30" spans="1:51" ht="18.75" x14ac:dyDescent="0.3">
      <c r="B30" s="229" t="s">
        <v>14</v>
      </c>
      <c r="C30" s="229" t="s">
        <v>15</v>
      </c>
      <c r="D30" s="229" t="s">
        <v>8</v>
      </c>
      <c r="E30" s="229" t="s">
        <v>9</v>
      </c>
      <c r="F30" s="229" t="s">
        <v>234</v>
      </c>
      <c r="G30" s="229" t="s">
        <v>56</v>
      </c>
      <c r="H30" s="229" t="s">
        <v>57</v>
      </c>
      <c r="I30" s="229" t="s">
        <v>58</v>
      </c>
      <c r="J30" s="229" t="s">
        <v>77</v>
      </c>
      <c r="K30" s="229" t="s">
        <v>204</v>
      </c>
      <c r="L30" s="229" t="s">
        <v>16</v>
      </c>
      <c r="M30" s="229" t="s">
        <v>12</v>
      </c>
      <c r="N30" s="229" t="s">
        <v>44</v>
      </c>
      <c r="O30" s="229" t="s">
        <v>55</v>
      </c>
      <c r="P30" s="229" t="s">
        <v>17</v>
      </c>
      <c r="Q30" s="229" t="s">
        <v>80</v>
      </c>
      <c r="R30" s="229" t="s">
        <v>81</v>
      </c>
      <c r="S30" s="229" t="s">
        <v>82</v>
      </c>
      <c r="T30" s="229" t="s">
        <v>83</v>
      </c>
      <c r="U30" s="229" t="s">
        <v>45</v>
      </c>
      <c r="V30" s="229" t="s">
        <v>43</v>
      </c>
      <c r="W30" s="229" t="s">
        <v>13</v>
      </c>
      <c r="X30" s="229" t="s">
        <v>0</v>
      </c>
      <c r="Y30" s="229" t="s">
        <v>11</v>
      </c>
      <c r="Z30" s="229" t="s">
        <v>10</v>
      </c>
      <c r="AA30" s="230" t="s">
        <v>14</v>
      </c>
      <c r="AB30" s="231" t="s">
        <v>15</v>
      </c>
      <c r="AC30" s="232" t="s">
        <v>8</v>
      </c>
      <c r="AD30" s="233" t="s">
        <v>9</v>
      </c>
      <c r="AE30" s="232" t="s">
        <v>234</v>
      </c>
      <c r="AF30" s="232" t="s">
        <v>56</v>
      </c>
      <c r="AG30" s="233" t="s">
        <v>57</v>
      </c>
      <c r="AH30" s="232" t="s">
        <v>58</v>
      </c>
      <c r="AI30" s="234" t="s">
        <v>77</v>
      </c>
      <c r="AJ30" s="235" t="s">
        <v>204</v>
      </c>
      <c r="AK30" s="235" t="s">
        <v>16</v>
      </c>
      <c r="AL30" s="234" t="s">
        <v>12</v>
      </c>
      <c r="AM30" s="234" t="s">
        <v>44</v>
      </c>
      <c r="AN30" s="235" t="s">
        <v>55</v>
      </c>
      <c r="AO30" s="229" t="s">
        <v>17</v>
      </c>
      <c r="AP30" s="229" t="s">
        <v>80</v>
      </c>
      <c r="AQ30" s="229" t="s">
        <v>81</v>
      </c>
      <c r="AR30" s="229" t="s">
        <v>82</v>
      </c>
      <c r="AS30" s="229" t="s">
        <v>83</v>
      </c>
      <c r="AT30" s="229" t="s">
        <v>45</v>
      </c>
      <c r="AU30" s="229" t="s">
        <v>43</v>
      </c>
      <c r="AV30" s="229" t="s">
        <v>13</v>
      </c>
      <c r="AW30" s="229" t="s">
        <v>0</v>
      </c>
      <c r="AX30" s="229" t="s">
        <v>11</v>
      </c>
      <c r="AY30" s="229" t="s">
        <v>10</v>
      </c>
    </row>
    <row r="31" spans="1:51" ht="18.75" x14ac:dyDescent="0.3">
      <c r="B31" s="236">
        <f>100-C31-D31-E31-F31-G31-H31-I31-J31-K31-L31-M31-N31-O31-P31-Q31-R31-S31-T31-U31-V31-W31-X31-Y31-Z31</f>
        <v>93.598807806106706</v>
      </c>
      <c r="C31" s="237">
        <f>C9</f>
        <v>0.8717917293387516</v>
      </c>
      <c r="D31" s="237">
        <f t="shared" ref="D31:Z31" si="10">D9</f>
        <v>1.4575042833282961</v>
      </c>
      <c r="E31" s="237">
        <f t="shared" si="10"/>
        <v>0</v>
      </c>
      <c r="F31" s="237">
        <f t="shared" si="10"/>
        <v>0</v>
      </c>
      <c r="G31" s="237">
        <f t="shared" si="10"/>
        <v>0.81481738515196134</v>
      </c>
      <c r="H31" s="237">
        <f t="shared" si="10"/>
        <v>5.0064370348226889E-3</v>
      </c>
      <c r="I31" s="237">
        <f t="shared" si="10"/>
        <v>1.0012874069645378E-3</v>
      </c>
      <c r="J31" s="237">
        <f t="shared" si="10"/>
        <v>1.0012874069645376E-3</v>
      </c>
      <c r="K31" s="237">
        <f t="shared" si="10"/>
        <v>1.5019311104468066E-3</v>
      </c>
      <c r="L31" s="237">
        <f t="shared" si="10"/>
        <v>1.7053117226059147</v>
      </c>
      <c r="M31" s="237">
        <f t="shared" si="10"/>
        <v>1.0012874069645376E-3</v>
      </c>
      <c r="N31" s="237">
        <f t="shared" si="10"/>
        <v>1.2911935322602954</v>
      </c>
      <c r="O31" s="237">
        <f t="shared" si="10"/>
        <v>0.19835803294374477</v>
      </c>
      <c r="P31" s="237">
        <f t="shared" si="10"/>
        <v>0</v>
      </c>
      <c r="Q31" s="237">
        <f t="shared" si="10"/>
        <v>5.2703277898170461E-2</v>
      </c>
      <c r="R31" s="237">
        <f t="shared" si="10"/>
        <v>0</v>
      </c>
      <c r="S31" s="237">
        <f t="shared" si="10"/>
        <v>0</v>
      </c>
      <c r="T31" s="237">
        <f t="shared" si="10"/>
        <v>0</v>
      </c>
      <c r="U31" s="237">
        <f t="shared" si="10"/>
        <v>0</v>
      </c>
      <c r="V31" s="237">
        <f t="shared" si="10"/>
        <v>0</v>
      </c>
      <c r="W31" s="237">
        <f t="shared" si="10"/>
        <v>0</v>
      </c>
      <c r="X31" s="237">
        <f t="shared" si="10"/>
        <v>0</v>
      </c>
      <c r="Y31" s="237">
        <f t="shared" si="10"/>
        <v>0</v>
      </c>
      <c r="Z31" s="237">
        <f t="shared" si="10"/>
        <v>0</v>
      </c>
      <c r="AA31" s="238">
        <v>55.84</v>
      </c>
      <c r="AB31" s="238">
        <v>28.0855</v>
      </c>
      <c r="AC31" s="238">
        <v>58.693399999999997</v>
      </c>
      <c r="AD31" s="238">
        <v>63.545999999999999</v>
      </c>
      <c r="AE31" s="238">
        <v>65.38</v>
      </c>
      <c r="AF31" s="238">
        <v>12.01</v>
      </c>
      <c r="AG31" s="238">
        <v>30.973762000000001</v>
      </c>
      <c r="AH31" s="238">
        <v>32.064999999999998</v>
      </c>
      <c r="AI31" s="238">
        <v>14.0067</v>
      </c>
      <c r="AJ31" s="238">
        <v>10.81</v>
      </c>
      <c r="AK31" s="238">
        <v>54.938043999999998</v>
      </c>
      <c r="AL31" s="238">
        <v>26.981539999999999</v>
      </c>
      <c r="AM31" s="238">
        <v>51.996099999999998</v>
      </c>
      <c r="AN31" s="238">
        <v>95.95</v>
      </c>
      <c r="AO31" s="239">
        <v>47.866999999999997</v>
      </c>
      <c r="AP31" s="239">
        <v>50.941499999999998</v>
      </c>
      <c r="AQ31" s="239">
        <v>92.906369999999995</v>
      </c>
      <c r="AR31" s="239">
        <v>183.84</v>
      </c>
      <c r="AS31" s="239">
        <v>180.94788</v>
      </c>
      <c r="AT31" s="239">
        <v>91.224000000000004</v>
      </c>
      <c r="AU31" s="239">
        <v>58.933194999999998</v>
      </c>
      <c r="AV31" s="239">
        <v>24.305</v>
      </c>
      <c r="AW31" s="238">
        <v>121.76</v>
      </c>
      <c r="AX31" s="238">
        <v>207.2</v>
      </c>
      <c r="AY31" s="238">
        <v>118.71</v>
      </c>
    </row>
    <row r="32" spans="1:51" ht="18.75" x14ac:dyDescent="0.3">
      <c r="B32" s="236">
        <f>100*((((B31)/(AA31))/(((B31)/(AA31))+((C31)/(AB31))+((D31)/(AC31))+((E31)/(AD31))+((F31)/(AE31))+((G31)/(AF31))+((H31)/(AG31))+((I31)/(AH31))+((J31)/(AI31))+((K31)/(AJ31))+((L31)/(AK31))+((M31)/(AL31))+((N31)/(AM31))+((O31)/(AN31))+((P31)/(AO31))+((Q31)/(AP31))+((R31)/(AQ31))+((S31)/(AR31))+((T31)/(AS31))+((U31)/(AT31))+((V31)/(AU31))+((W31)/(AV31))+((X31)/(AW31))+((Y31)/(AX31))+((Z31)/(AY31)))))</f>
        <v>90.15056542291434</v>
      </c>
      <c r="C32" s="236">
        <f>100*((((C31)/(AB31))/(((B31)/(AA31))+((C31)/(AB31))+((D31)/(AC31))+((E31)/(AD31))+((F31)/(AE31))+((G31)/(AF31))+((H31)/(AG31))+((I31)/(AH31))+((J31)/(AI31))+((K31)/(AJ31))+((L31)/(AK31))+((M31)/(AL31))+((N31)/(AM31))+((O31)/(AN31))+((P31)/(AO31))+((Q31)/(AP31))+((R31)/(AQ31))+((S31)/(AR31))+((T31)/(AS31))+((U31)/(AT31))+((V31)/(AU31))+((W31)/(AV31))+((X31)/(AW31))+((Y31)/(AX31))+((Z31)/(AY31)))))</f>
        <v>1.6694527511337363</v>
      </c>
      <c r="D32" s="236">
        <f>100*((((D31)/(AC31))/(((B31)/(AA31))+((C31)/(AB31))+((D31)/(AC31))+((E31)/(AD31))+((F31)/(AE31))+((G31)/(AF31))+((H31)/(AG31))+((I31)/(AH31))+((J31)/(AI31))+((K31)/(AJ31))+((L31)/(AK31))+((M31)/(AL31))+((N31)/(AM31))+((O31)/(AN31))+((P31)/(AO31))+((Q31)/(AP31))+((R31)/(AQ31))+((S31)/(AR31))+((T31)/(AS31))+((U31)/(AT31))+((V31)/(AU31))+((W31)/(AV31))+((X31)/(AW31))+((Y31)/(AX31))+((Z31)/(AY31)))))</f>
        <v>1.3355622009069887</v>
      </c>
      <c r="E32" s="236">
        <f>100*((((E31)/(AD31))/(((B31)/(AA31))+((C31)/(AB31))+((D31)/(AC31))+((E31)/(AD31))+((F31)/(AE31))+((G31)/(AF31))+((H31)/(AG31))+((I31)/(AH31))+((J31)/(AI31))+((K31)/(AJ31))+((L31)/(AK31))+((M31)/(AL31))+((N31)/(AM31))+((O31)/(AN31))+((P31)/(AO31))+((Q31)/(AP31))+((R31)/(AQ31))+((S31)/(AR31))+((T31)/(AS31))+((U31)/(AT31))+((V31)/(AU31))+((W31)/(AV31))+((X31)/(AW31))+((Y31)/(AX31))+((Z31)/(AY31)))))</f>
        <v>0</v>
      </c>
      <c r="F32" s="236">
        <f>100*((((F31)/(AE31))/(((B31)/(AA31))+((C31)/(AB31))+((D31)/(AC31))+((E31)/(AD31))+((F31)/(AE31))+((G31)/(AF31))+((H31)/(AG31))+((I31)/(AH31))+((J31)/(AI31))+((K31)/(AJ31))+((L31)/(AK31))+((M31)/(AL31))+((N31)/(AM31))+((O31)/(AN31))+((P31)/(AO31))+((Q31)/(AP31))+((R31)/(AQ31))+((S31)/(AR31))+((T31)/(AS31))+((U31)/(AT31))+((V31)/(AU31))+((W31)/(AV31))+((X31)/(AW31))+((Y31)/(AX31))+((Z31)/(AY31)))))</f>
        <v>0</v>
      </c>
      <c r="G32" s="236">
        <f>100*((((G31)/(AF31))/(((B31)/(AA31))+((C31)/(AB31))+((D31)/(AC31))+((E31)/(AD31))+((F31)/(AE31))+((G31)/(AF31))+((H31)/(AG31))+((I31)/(AH31))+((J31)/(AI31))+((K31)/(AJ31))+((L31)/(AK31))+((M31)/(AL31))+((N31)/(AM31))+((O31)/(AN31))+((P31)/(AO31))+((Q31)/(AP31))+((R31)/(AQ31))+((S31)/(AR31))+((T31)/(AS31))+((U31)/(AT31))+((V31)/(AU31))+((W31)/(AV31))+((X31)/(AW31))+((Y31)/(AX31))+((Z31)/(AY31)))))</f>
        <v>3.648890466423707</v>
      </c>
      <c r="H32" s="236">
        <f>100*((((H31)/(AG31))/(((B31)/(AA31))+((C31)/(AB31))+((D31)/(AC31))+((E31)/(AD31))+((F31)/(AE31))+((G31)/(AF31))+((H31)/(AG31))+((I31)/(AH31))+((J31)/(AI31))+((K31)/(AJ31))+((L31)/(AK31))+((M31)/(AL31))+((N31)/(AM31))+((O31)/(AN31))+((P31)/(AO31))+((Q31)/(AP31))+((R31)/(AQ31))+((S31)/(AR31))+((T31)/(AS31))+((U31)/(AT31))+((V31)/(AU31))+((W31)/(AV31))+((X31)/(AW31))+((Y31)/(AX31))+((Z31)/(AY31)))))</f>
        <v>8.6931735324620833E-3</v>
      </c>
      <c r="I32" s="236">
        <f>100*((((I31)/(AH31))/(((B31)/(AA31))+((C31)/(AB31))+((D31)/(AC31))+((E31)/(AD31))+((F31)/(AE31))+((G31)/(AF31))+((H31)/(AG31))+((I31)/(AH31))+((J31)/(AI31))+((K31)/(AJ31))+((L31)/(AK31))+((M31)/(AL31))+((N31)/(AM31))+((O31)/(AN31))+((P31)/(AO31))+((Q31)/(AP31))+((R31)/(AQ31))+((S31)/(AR31))+((T31)/(AS31))+((U31)/(AT31))+((V31)/(AU31))+((W31)/(AV31))+((X31)/(AW31))+((Y31)/(AX31))+((Z31)/(AY31)))))</f>
        <v>1.6794653860544514E-3</v>
      </c>
      <c r="J32" s="236">
        <f>100*((((J31)/(AI31))/(((B31)/(AA31))+((C31)/(AB31))+((D31)/(AC31))+((E31)/(AD31))+((F31)/(AE31))+((G31)/(AF31))+((H31)/(AG31))+((I31)/(AH31))+((J31)/(AI31))+((K31)/(AJ31))+((L31)/(AK31))+((M31)/(AL31))+((N31)/(AM31))+((O31)/(AN31))+((P31)/(AO31))+((Q31)/(AP31))+((R31)/(AQ31))+((S31)/(AR31))+((T31)/(AS31))+((U31)/(AT31))+((V31)/(AU31))+((W31)/(AV31))+((X31)/(AW31))+((Y31)/(AX31))+((Z31)/(AY31)))))</f>
        <v>3.8447355625404957E-3</v>
      </c>
      <c r="K32" s="236">
        <f>100*((((K31)/(AJ31))/(((B31)/(AA31))+((C31)/(AB31))+((D31)/(AC31))+((E31)/(AD31))+((F31)/(AE31))+((G31)/(AF31))+((H31)/(AG31))+((I31)/(AH31))+((J31)/(AI31))+((K31)/(AJ31))+((L31)/(AK31))+((M31)/(AL31))+((N31)/(AM31))+((O31)/(AN31))+((P31)/(AO31))+((Q31)/(AP31))+((R31)/(AQ31))+((S31)/(AR31))+((T31)/(AS31))+((U31)/(AT31))+((V31)/(AU31))+((W31)/(AV31))+((X31)/(AW31))+((Y31)/(AX31))+((Z31)/(AY31)))))</f>
        <v>7.472533432539682E-3</v>
      </c>
      <c r="L32" s="236">
        <f>100*((((L31)/(AK31))/(((B31)/(AA31))+((C31)/(AB31))+((D31)/(AC31))+((E31)/(AD31))+((F31)/(AE31))+((G31)/(AF31))+((H31)/(AG31))+((I31)/(AH31))+((J31)/(AI31))+((K31)/(AJ31))+((L31)/(AK31))+((M31)/(AL31))+((N31)/(AM31))+((O31)/(AN31))+((P31)/(AO31))+((Q31)/(AP31))+((R31)/(AQ31))+((S31)/(AR31))+((T31)/(AS31))+((U31)/(AT31))+((V31)/(AU31))+((W31)/(AV31))+((X31)/(AW31))+((Y31)/(AX31))+((Z31)/(AY31)))))</f>
        <v>1.6694527511337358</v>
      </c>
      <c r="M32" s="236">
        <f>100*((((M31)/(AL31))/(((B31)/(AA31))+((C31)/(AB31))+((D31)/(AC31))+((E31)/(AD31))+((F31)/(AE31))+((G31)/(AF31))+((H31)/(AG31))+((I31)/(AH31))+((J31)/(AI31))+((K31)/(AJ31))+((L31)/(AK31))+((M31)/(AL31))+((N31)/(AM31))+((O31)/(AN31))+((P31)/(AO31))+((Q31)/(AP31))+((R31)/(AQ31))+((S31)/(AR31))+((T31)/(AS31))+((U31)/(AT31))+((V31)/(AU31))+((W31)/(AV31))+((X31)/(AW31))+((Y31)/(AX31))+((Z31)/(AY31)))))</f>
        <v>1.9958852461288705E-3</v>
      </c>
      <c r="N32" s="236">
        <f>100*((((N31)/(AM31))/(((B31)/(AA31))+((C31)/(AB31))+((D31)/(AC31))+((E31)/(AD31))+((F31)/(AE31))+((G31)/(AF31))+((H31)/(AG31))+((I31)/(AH31))+((J31)/(AI31))+((K31)/(AJ31))+((L31)/(AK31))+((M31)/(AL31))+((N31)/(AM31))+((O31)/(AN31))+((P31)/(AO31))+((Q31)/(AP31))+((R31)/(AQ31))+((S31)/(AR31))+((T31)/(AS31))+((U31)/(AT31))+((V31)/(AU31))+((W31)/(AV31))+((X31)/(AW31))+((Y31)/(AX31))+((Z31)/(AY31)))))</f>
        <v>1.3355622009069887</v>
      </c>
      <c r="O32" s="236">
        <f>100*((((O31)/(AN31))/(((B31)/(AA31))+((C31)/(AB31))+((D31)/(AC31))+((E31)/(AD31))+((F31)/(AE31))+((G31)/(AF31))+((H31)/(AG31))+((I31)/(AH31))+((J31)/(AI31))+((K31)/(AJ31))+((L31)/(AK31))+((M31)/(AL31))+((N31)/(AM31))+((O31)/(AN31))+((P31)/(AO31))+((Q31)/(AP31))+((R31)/(AQ31))+((S31)/(AR31))+((T31)/(AS31))+((U31)/(AT31))+((V31)/(AU31))+((W31)/(AV31))+((X31)/(AW31))+((Y31)/(AX31))+((Z31)/(AY31)))))</f>
        <v>0.11118555322550683</v>
      </c>
      <c r="P32" s="236">
        <f>100*((((P31)/(AO31))/(((B31)/(AA31))+((C31)/(AB31))+((D31)/(AC31))+((E31)/(AD31))+((F31)/(AE31))+((G31)/(AF31))+((H31)/(AG31))+((I31)/(AH31))+((J31)/(AI31))+((K31)/(AJ31))+((L31)/(AK31))+((M31)/(AL31))+((N31)/(AM31))+((O31)/(AN31))+((P31)/(AO31))+((Q31)/(AP31))+((R31)/(AQ31))+((S31)/(AR31))+((T31)/(AS31))+((U31)/(AT31))+((V31)/(AU31))+((W31)/(AV31))+((X31)/(AW31))+((Y31)/(AX31))+((Z31)/(AY31)))))</f>
        <v>0</v>
      </c>
      <c r="Q32" s="236">
        <f>100*((((Q31)/(AP31))/(((B31)/(AA31))+((C31)/(AB31))+((D31)/(AC31))+((E31)/(AD31))+((F31)/(AE31))+((G31)/(AF31))+((H31)/(AG31))+((I31)/(AH31))+((J31)/(AI31))+((K31)/(AJ31))+((L31)/(AK31))+((M31)/(AL31))+((N31)/(AM31))+((O31)/(AN31))+((P31)/(AO31))+((Q31)/(AP31))+((R31)/(AQ31))+((S31)/(AR31))+((T31)/(AS31))+((U31)/(AT31))+((V31)/(AU31))+((W31)/(AV31))+((X31)/(AW31))+((Y31)/(AX31))+((Z31)/(AY31)))))</f>
        <v>5.5642860195287427E-2</v>
      </c>
      <c r="R32" s="236">
        <f>100*((((R31)/(AQ31))/(((B31)/(AA31))+((C31)/(AB31))+((D31)/(AC31))+((E31)/(AD31))+((F31)/(AE31))+((G31)/(AF31))+((H31)/(AG31))+((I31)/(AH31))+((J31)/(AI31))+((K31)/(AJ31))+((L31)/(AK31))+((M31)/(AL31))+((N31)/(AM31))+((O31)/(AN31))+((P31)/(AO31))+((Q31)/(AP31))+((R31)/(AQ31))+((S31)/(AR31))+((T31)/(AS31))+((U31)/(AT31))+((V31)/(AU31))+((W31)/(AV31))+((X31)/(AW31))+((Y31)/(AX31))+((Z31)/(AY31)))))</f>
        <v>0</v>
      </c>
      <c r="S32" s="236">
        <f>100*((((S31)/(AR31))/(((B31)/(AA31))+((C31)/(AB31))+((D31)/(AC31))+((E31)/(AD31))+((F31)/(AE31))+((G31)/(AF31))+((H31)/(AG31))+((I31)/(AH31))+((J31)/(AI31))+((K31)/(AJ31))+((L31)/(AK31))+((M31)/(AL31))+((N31)/(AM31))+((O31)/(AN31))+((P31)/(AO31))+((Q31)/(AP31))+((R31)/(AQ31))+((S31)/(AR31))+((T31)/(AS31))+((U31)/(AT31))+((V31)/(AU31))+((W31)/(AV31))+((X31)/(AW31))+((Y31)/(AX31))+((Z31)/(AY31)))))</f>
        <v>0</v>
      </c>
      <c r="T32" s="236">
        <f>100*((((T31)/(AS31))/(((B31)/(AA31))+((C31)/(AB31))+((D31)/(AC31))+((E31)/(AD31))+((F31)/(AE31))+((G31)/(AF31))+((H31)/(AG31))+((I31)/(AH31))+((J31)/(AI31))+((K31)/(AJ31))+((L31)/(AK31))+((M31)/(AL31))+((N31)/(AM31))+((O31)/(AN31))+((P31)/(AO31))+((Q31)/(AP31))+((R31)/(AQ31))+((S31)/(AR31))+((T31)/(AS31))+((U31)/(AT31))+((V31)/(AU31))+((W31)/(AV31))+((X31)/(AW31))+((Y31)/(AX31))+((Z31)/(AY31)))))</f>
        <v>0</v>
      </c>
      <c r="U32" s="236">
        <f>100*((((U31)/(AT31))/(((B31)/(AA31))+((C31)/(AB31))+((D31)/(AC31))+((E31)/(AD31))+((F31)/(AE31))+((G31)/(AF31))+((H31)/(AG31))+((I31)/(AH31))+((J31)/(AI31))+((K31)/(AJ31))+((L31)/(AK31))+((M31)/(AL31))+((N31)/(AM31))+((O31)/(AN31))+((P31)/(AO31))+((Q31)/(AP31))+((R31)/(AQ31))+((S31)/(AR31))+((T31)/(AS31))+((U31)/(AT31))+((V31)/(AU31))+((W31)/(AV31))+((X31)/(AW31))+((Y31)/(AX31))+((Z31)/(AY31)))))</f>
        <v>0</v>
      </c>
      <c r="V32" s="236">
        <f>100*((((V31)/(AU31))/(((B31)/(AA31))+((C31)/(AB31))+((D31)/(AC31))+((E31)/(AD31))+((F31)/(AE31))+((G31)/(AF31))+((H31)/(AG31))+((I31)/(AH31))+((J31)/(AI31))+((K31)/(AJ31))+((L31)/(AK31))+((M31)/(AL31))+((N31)/(AM31))+((O31)/(AN31))+((P31)/(AO31))+((Q31)/(AP31))+((R31)/(AQ31))+((S31)/(AR31))+((T31)/(AS31))+((U31)/(AT31))+((V31)/(AU31))+((W31)/(AV31))+((X31)/(AW31))+((Y31)/(AX31))+((Z31)/(AY31)))))</f>
        <v>0</v>
      </c>
      <c r="W32" s="236">
        <f>100*((((W31)/(AV31))/(((B31)/(AA31))+((C31)/(AB31))+((D31)/(AC31))+((E31)/(AD31))+((F31)/(AE31))+((G31)/(AF31))+((H31)/(AG31))+((I31)/(AH31))+((J31)/(AI31))+((K31)/(AJ31))+((L31)/(AK31))+((M31)/(AL31))+((N31)/(AM31))+((O31)/(AN31))+((P31)/(AO31))+((Q31)/(AP31))+((R31)/(AQ31))+((S31)/(AR31))+((T31)/(AS31))+((U31)/(AT31))+((V31)/(AU31))+((W31)/(AV31))+((X31)/(AW31))+((Y31)/(AX31))+((Z31)/(AY31)))))</f>
        <v>0</v>
      </c>
      <c r="X32" s="238">
        <f>100*((((X31)/(AW31))/(((B31)/(AA31))+((C31)/(AB31))+((D31)/(AC31))+((E31)/(AD31))+((F31)/(AE31))+((G31)/(AF31))+((H31)/(AG31))+((I31)/(AH31))+((J31)/(AI31))+((K31)/(AJ31))+((L31)/(AK31))+((M31)/(AL31))+((N31)/(AM31))+((O31)/(AN31))+((P31)/(AO31))+((Q31)/(AP31))+((R31)/(AQ31))+((S31)/(AR31))+((T31)/(AS31))+((U31)/(AT31))+((V31)/(AU31))+((W31)/(AV31))+((X31)/(AW31))+((Y31)/(AX31))+((Z31)/(AY31)))))</f>
        <v>0</v>
      </c>
      <c r="Y32" s="238">
        <f>100*((((Y31)/(AX31))/(((B31)/(AA31))+((C31)/(AB31))+((D31)/(AC31))+((E31)/(AD31))+((F31)/(AE31))+((G31)/(AF31))+((H31)/(AG31))+((I31)/(AH31))+((J31)/(AI31))+((K31)/(AJ31))+((L31)/(AK31))+((M31)/(AL31))+((N31)/(AM31))+((O31)/(AN31))+((P31)/(AO31))+((Q31)/(AP31))+((R31)/(AQ31))+((S31)/(AR31))+((T31)/(AS31))+((U31)/(AT31))+((V31)/(AU31))+((W31)/(AV31))+((X31)/(AW31))+((Y31)/(AX31))+((Z31)/(AY31)))))</f>
        <v>0</v>
      </c>
      <c r="Z32" s="238">
        <f>100*((((Z31)/(AY31))/(((B31)/(AA31))+((C31)/(AB31))+((D31)/(AC31))+((E31)/(AD31))+((F31)/(AE31))+((G31)/(AF31))+((H31)/(AG31))+((I31)/(AH31))+((J31)/(AI31))+((K31)/(AJ31))+((L31)/(AK31))+((M31)/(AL31))+((N31)/(AM31))+((O31)/(AN31))+((P31)/(AO31))+((Q31)/(AP31))+((R31)/(AQ31))+((S31)/(AR31))+((T31)/(AS31))+((U31)/(AT31))+((V31)/(AU31))+((W31)/(AV31))+((X31)/(AW31))+((Y31)/(AX31))+((Z31)/(AY31)))))</f>
        <v>0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</row>
    <row r="33" spans="1:51" x14ac:dyDescent="0.25">
      <c r="A33">
        <f>599-B33</f>
        <v>58.99811311674307</v>
      </c>
      <c r="B33">
        <f>599*B32/100</f>
        <v>540.00188688325693</v>
      </c>
      <c r="C33">
        <f>599*C32/100</f>
        <v>10.00002197929108</v>
      </c>
      <c r="D33">
        <f t="shared" ref="D33:Z33" si="11">599*D32/100</f>
        <v>8.0000175834328626</v>
      </c>
      <c r="E33">
        <f t="shared" si="11"/>
        <v>0</v>
      </c>
      <c r="F33">
        <f t="shared" si="11"/>
        <v>0</v>
      </c>
      <c r="G33">
        <f t="shared" si="11"/>
        <v>21.856853893878007</v>
      </c>
      <c r="H33">
        <f t="shared" si="11"/>
        <v>5.2072109459447881E-2</v>
      </c>
      <c r="I33">
        <f t="shared" si="11"/>
        <v>1.0059997662466165E-2</v>
      </c>
      <c r="J33">
        <f t="shared" si="11"/>
        <v>2.3029966019617567E-2</v>
      </c>
      <c r="K33">
        <f t="shared" si="11"/>
        <v>4.4760475260912695E-2</v>
      </c>
      <c r="L33">
        <f t="shared" si="11"/>
        <v>10.000021979291077</v>
      </c>
      <c r="M33">
        <f t="shared" si="11"/>
        <v>1.1955352624311934E-2</v>
      </c>
      <c r="N33">
        <f t="shared" si="11"/>
        <v>8.0000175834328626</v>
      </c>
      <c r="O33">
        <f t="shared" si="11"/>
        <v>0.66600146382078595</v>
      </c>
      <c r="P33">
        <f t="shared" si="11"/>
        <v>0</v>
      </c>
      <c r="Q33">
        <f t="shared" si="11"/>
        <v>0.33330073256977172</v>
      </c>
      <c r="R33">
        <f t="shared" si="11"/>
        <v>0</v>
      </c>
      <c r="S33">
        <f t="shared" si="11"/>
        <v>0</v>
      </c>
      <c r="T33">
        <f t="shared" si="11"/>
        <v>0</v>
      </c>
      <c r="U33">
        <f t="shared" si="11"/>
        <v>0</v>
      </c>
      <c r="V33">
        <f t="shared" si="11"/>
        <v>0</v>
      </c>
      <c r="W33">
        <f t="shared" si="11"/>
        <v>0</v>
      </c>
      <c r="X33">
        <f t="shared" si="11"/>
        <v>0</v>
      </c>
      <c r="Y33">
        <f t="shared" si="11"/>
        <v>0</v>
      </c>
      <c r="Z33">
        <f t="shared" si="11"/>
        <v>0</v>
      </c>
    </row>
    <row r="34" spans="1:51" ht="23.25" x14ac:dyDescent="0.35"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spans="1:51" ht="23.25" x14ac:dyDescent="0.35">
      <c r="B35" s="71" t="s">
        <v>88</v>
      </c>
      <c r="C35" s="76">
        <f>C33+D33+E33+F33+G33+H33+I33+J33+K33</f>
        <v>39.9868160050044</v>
      </c>
      <c r="D35" s="77"/>
      <c r="E35" s="77">
        <f>C34+F34+E34</f>
        <v>0</v>
      </c>
      <c r="F35" s="77"/>
      <c r="G35" s="77">
        <v>94</v>
      </c>
      <c r="H35" s="77"/>
      <c r="I35" s="77"/>
      <c r="J35" s="77">
        <f>J34+O34</f>
        <v>0</v>
      </c>
      <c r="K35" s="77"/>
      <c r="L35" s="77"/>
      <c r="M35" s="77"/>
      <c r="N35" s="77"/>
      <c r="O35" s="77"/>
      <c r="P35" s="77"/>
      <c r="Q35" s="71"/>
      <c r="R35" s="71"/>
      <c r="S35" s="71"/>
    </row>
    <row r="36" spans="1:51" ht="23.25" x14ac:dyDescent="0.35">
      <c r="B36" s="78" t="s">
        <v>167</v>
      </c>
      <c r="C36" s="79">
        <f>K33+L33++M33+N33+O33+P33+Q33+R33+S33+T33+U33+V33+W33+X33+Y33+Z33</f>
        <v>19.056057586999724</v>
      </c>
      <c r="D36" s="71"/>
      <c r="E36" s="80">
        <f>K34+M34</f>
        <v>0</v>
      </c>
      <c r="F36" s="71"/>
      <c r="G36" s="71">
        <v>0.5</v>
      </c>
      <c r="H36" s="71"/>
      <c r="I36" s="71">
        <f>J34+K34+L34+M34+N34+O34+P34+Q34+R34+S34+T34+U34+V34+W34+X34+Y34+Z34</f>
        <v>0</v>
      </c>
      <c r="J36" s="71"/>
      <c r="K36" s="71"/>
      <c r="L36" s="71"/>
      <c r="M36" s="71"/>
      <c r="N36" s="71"/>
      <c r="O36" s="71"/>
      <c r="P36" s="71"/>
      <c r="Q36" s="71"/>
      <c r="R36" s="71"/>
      <c r="S36" s="71"/>
    </row>
    <row r="37" spans="1:51" ht="23.25" x14ac:dyDescent="0.35">
      <c r="B37" s="71" t="s">
        <v>13</v>
      </c>
      <c r="C37" s="71">
        <f>C35+C36</f>
        <v>59.042873592004128</v>
      </c>
      <c r="D37" s="71"/>
      <c r="E37" s="71">
        <f>J34</f>
        <v>0</v>
      </c>
      <c r="F37" s="71"/>
      <c r="G37" s="71">
        <v>0.5</v>
      </c>
      <c r="H37" s="71"/>
      <c r="I37" s="71">
        <f>1.62-J34</f>
        <v>1.62</v>
      </c>
      <c r="J37" s="71">
        <v>98</v>
      </c>
      <c r="K37" s="81">
        <f>J37*100/599</f>
        <v>16.360601001669448</v>
      </c>
      <c r="L37" s="71">
        <v>94.49</v>
      </c>
      <c r="M37" s="71"/>
      <c r="N37" s="71"/>
      <c r="O37" s="71"/>
      <c r="P37" s="71"/>
      <c r="Q37" s="71"/>
      <c r="R37" s="71"/>
      <c r="S37" s="71"/>
    </row>
    <row r="38" spans="1:51" ht="23.25" x14ac:dyDescent="0.35">
      <c r="B38" s="71" t="s">
        <v>15</v>
      </c>
      <c r="C38" s="89">
        <f>D32</f>
        <v>1.3355622009069887</v>
      </c>
      <c r="D38" s="89"/>
      <c r="E38" s="89">
        <f>D34</f>
        <v>0</v>
      </c>
      <c r="F38" s="89"/>
      <c r="G38" s="89">
        <v>23</v>
      </c>
      <c r="J38" s="71">
        <v>0.5</v>
      </c>
      <c r="K38" s="81">
        <f t="shared" ref="K38:K39" si="12">J38*100/599</f>
        <v>8.347245409015025E-2</v>
      </c>
      <c r="L38" s="71">
        <v>95.82</v>
      </c>
      <c r="N38" s="71"/>
      <c r="O38" s="71"/>
      <c r="P38" s="71"/>
      <c r="Q38" s="71"/>
      <c r="R38" s="71"/>
      <c r="S38" s="71"/>
    </row>
    <row r="39" spans="1:51" ht="23.25" x14ac:dyDescent="0.35">
      <c r="B39" s="71" t="s">
        <v>67</v>
      </c>
      <c r="C39" s="89">
        <f>C35+C36</f>
        <v>59.042873592004128</v>
      </c>
      <c r="D39" s="89"/>
      <c r="E39" s="89">
        <f>E35+E36+E37+E38</f>
        <v>0</v>
      </c>
      <c r="F39" s="89"/>
      <c r="G39" s="89">
        <f>G35+G36+G37+G38</f>
        <v>118</v>
      </c>
      <c r="J39" s="71">
        <v>23</v>
      </c>
      <c r="K39" s="81">
        <f t="shared" si="12"/>
        <v>3.8397328881469117</v>
      </c>
      <c r="L39" s="71">
        <v>89.48</v>
      </c>
      <c r="N39" s="71"/>
      <c r="O39" s="71"/>
      <c r="P39" s="71"/>
      <c r="Q39" s="71"/>
      <c r="R39" s="71"/>
      <c r="S39" s="71"/>
    </row>
    <row r="40" spans="1:51" ht="23.25" x14ac:dyDescent="0.35">
      <c r="B40" t="str">
        <f>'Tab1EQ opt2_1'!B17</f>
        <v>Fe</v>
      </c>
      <c r="C40" t="str">
        <f>'Tab1EQ opt2_1'!C17</f>
        <v>Si</v>
      </c>
      <c r="D40" t="str">
        <f>'Tab1EQ opt2_1'!D17</f>
        <v>Ni</v>
      </c>
      <c r="E40" t="str">
        <f>'Tab1EQ opt2_1'!E17</f>
        <v>Cu</v>
      </c>
      <c r="F40" t="str">
        <f>'Tab1EQ opt2_1'!F17</f>
        <v>Zn</v>
      </c>
      <c r="G40" t="str">
        <f>'Tab1EQ opt2_1'!G17</f>
        <v>C</v>
      </c>
      <c r="H40" t="str">
        <f>'Tab1EQ opt2_1'!H17</f>
        <v>P</v>
      </c>
      <c r="I40" t="str">
        <f>'Tab1EQ opt2_1'!I17</f>
        <v>S</v>
      </c>
      <c r="J40" t="str">
        <f>'Tab1EQ opt2_1'!J17</f>
        <v>N</v>
      </c>
      <c r="K40" t="str">
        <f>'Tab1EQ opt2_1'!K17</f>
        <v>B</v>
      </c>
      <c r="L40" t="str">
        <f>'Tab1EQ opt2_1'!L17</f>
        <v>Mn</v>
      </c>
      <c r="M40" t="str">
        <f>'Tab1EQ opt2_1'!M17</f>
        <v>Al</v>
      </c>
      <c r="N40" s="71" t="str">
        <f>'Tab1EQ opt2_1'!N17</f>
        <v>Cr</v>
      </c>
      <c r="O40" s="71" t="str">
        <f>'Tab1EQ opt2_1'!O17</f>
        <v>Mo</v>
      </c>
      <c r="P40" s="71" t="str">
        <f>'Tab1EQ opt2_1'!P17</f>
        <v>Ti</v>
      </c>
      <c r="Q40" s="71" t="str">
        <f>'Tab1EQ opt2_1'!Q17</f>
        <v>V</v>
      </c>
      <c r="R40" s="71" t="str">
        <f>'Tab1EQ opt2_1'!R17</f>
        <v>Nb</v>
      </c>
      <c r="S40" s="71" t="str">
        <f>'Tab1EQ opt2_1'!S17</f>
        <v>W</v>
      </c>
      <c r="T40" t="str">
        <f>'Tab1EQ opt2_1'!T17</f>
        <v>Ta</v>
      </c>
      <c r="U40" t="str">
        <f>'Tab1EQ opt2_1'!U17</f>
        <v>Zr</v>
      </c>
      <c r="V40" t="str">
        <f>'Tab1EQ opt2_1'!V17</f>
        <v>Co</v>
      </c>
      <c r="W40" t="str">
        <f>'Tab1EQ opt2_1'!W17</f>
        <v>Mg</v>
      </c>
      <c r="X40" t="str">
        <f>'Tab1EQ opt2_1'!X17</f>
        <v>Sb</v>
      </c>
      <c r="Y40" t="str">
        <f>'Tab1EQ opt2_1'!Y17</f>
        <v>Pb</v>
      </c>
      <c r="Z40" t="str">
        <f>'Tab1EQ opt2_1'!Z17</f>
        <v>Sn</v>
      </c>
    </row>
    <row r="41" spans="1:51" ht="23.25" x14ac:dyDescent="0.35">
      <c r="B41">
        <f>'Tab1EQ opt2_1'!B18</f>
        <v>62.477968121632628</v>
      </c>
      <c r="C41">
        <f>'Tab1EQ opt2_1'!C18</f>
        <v>0.8347245409015025</v>
      </c>
      <c r="D41">
        <f>'Tab1EQ opt2_1'!D18</f>
        <v>0</v>
      </c>
      <c r="E41">
        <f>'Tab1EQ opt2_1'!E18</f>
        <v>0</v>
      </c>
      <c r="F41">
        <f>'Tab1EQ opt2_1'!F18</f>
        <v>0</v>
      </c>
      <c r="G41">
        <f>'Tab1EQ opt2_1'!G18</f>
        <v>12.020033388981636</v>
      </c>
      <c r="H41">
        <f>'Tab1EQ opt2_1'!H18</f>
        <v>4.1520007620633901E-3</v>
      </c>
      <c r="I41">
        <f>'Tab1EQ opt2_1'!I18</f>
        <v>8.0213992470276065E-4</v>
      </c>
      <c r="J41">
        <f>'Tab1EQ opt2_1'!J18</f>
        <v>1.8363081015224151E-3</v>
      </c>
      <c r="K41">
        <f>'Tab1EQ opt2_1'!K18</f>
        <v>3.5690032403691979E-3</v>
      </c>
      <c r="L41">
        <f>'Tab1EQ opt2_1'!L18</f>
        <v>0.667779632721202</v>
      </c>
      <c r="M41">
        <f>'Tab1EQ opt2_1'!M18</f>
        <v>0</v>
      </c>
      <c r="N41" s="71">
        <f>'Tab1EQ opt2_1'!N18</f>
        <v>23.962879805134786</v>
      </c>
      <c r="O41" s="71">
        <f>'Tab1EQ opt2_1'!O18</f>
        <v>0</v>
      </c>
      <c r="P41" s="71">
        <f>'Tab1EQ opt2_1'!P18</f>
        <v>0</v>
      </c>
      <c r="Q41" s="71">
        <f>'Tab1EQ opt2_1'!Q18</f>
        <v>2.6255058599587544E-2</v>
      </c>
      <c r="R41" s="71">
        <f>'Tab1EQ opt2_1'!R18</f>
        <v>0</v>
      </c>
      <c r="S41" s="71">
        <f>'Tab1EQ opt2_1'!S18</f>
        <v>0</v>
      </c>
      <c r="T41">
        <f>'Tab1EQ opt2_1'!T18</f>
        <v>0</v>
      </c>
      <c r="U41">
        <f>'Tab1EQ opt2_1'!U18</f>
        <v>0</v>
      </c>
      <c r="V41">
        <f>'Tab1EQ opt2_1'!V18</f>
        <v>0</v>
      </c>
      <c r="W41">
        <f>'Tab1EQ opt2_1'!W18</f>
        <v>0</v>
      </c>
      <c r="X41">
        <f>'Tab1EQ opt2_1'!X18</f>
        <v>0</v>
      </c>
      <c r="Y41">
        <f>'Tab1EQ opt2_1'!Y18</f>
        <v>0</v>
      </c>
      <c r="Z41">
        <f>'Tab1EQ opt2_1'!Z18</f>
        <v>0</v>
      </c>
    </row>
    <row r="42" spans="1:51" ht="18.75" x14ac:dyDescent="0.3">
      <c r="B42" s="66">
        <f>'Tab1EQ opt2_1'!B19</f>
        <v>70.611535708766269</v>
      </c>
      <c r="C42" s="66">
        <f>'Tab1EQ opt2_1'!C19</f>
        <v>0.47449177870684484</v>
      </c>
      <c r="D42" s="66">
        <f>'Tab1EQ opt2_1'!D19</f>
        <v>0</v>
      </c>
      <c r="E42" s="66">
        <f>'Tab1EQ opt2_1'!E19</f>
        <v>0</v>
      </c>
      <c r="F42" s="66">
        <f>'Tab1EQ opt2_1'!F19</f>
        <v>0</v>
      </c>
      <c r="G42" s="66">
        <f>'Tab1EQ opt2_1'!G19</f>
        <v>2.921810406675208</v>
      </c>
      <c r="H42" s="66">
        <f>'Tab1EQ opt2_1'!H19</f>
        <v>2.6028835075715545E-3</v>
      </c>
      <c r="I42" s="66">
        <f>'Tab1EQ opt2_1'!I19</f>
        <v>5.2057670151431097E-4</v>
      </c>
      <c r="J42" s="66">
        <f>'Tab1EQ opt2_1'!J19</f>
        <v>5.2057670151431075E-4</v>
      </c>
      <c r="K42" s="66">
        <f>'Tab1EQ opt2_1'!K19</f>
        <v>7.8086505227146661E-4</v>
      </c>
      <c r="L42" s="66">
        <f>'Tab1EQ opt2_1'!L19</f>
        <v>0.74252266019789281</v>
      </c>
      <c r="M42" s="66">
        <f>'Tab1EQ opt2_1'!M19</f>
        <v>0</v>
      </c>
      <c r="N42" s="66">
        <f>'Tab1EQ opt2_1'!N19</f>
        <v>25.218144555212156</v>
      </c>
      <c r="O42" s="66">
        <f>'Tab1EQ opt2_1'!O19</f>
        <v>0</v>
      </c>
      <c r="P42" s="66">
        <f>'Tab1EQ opt2_1'!P19</f>
        <v>0</v>
      </c>
      <c r="Q42" s="66">
        <f>'Tab1EQ opt2_1'!Q19</f>
        <v>2.7069988478744166E-2</v>
      </c>
      <c r="R42" s="66">
        <f>'Tab1EQ opt2_1'!R19</f>
        <v>0</v>
      </c>
      <c r="S42" s="66">
        <f>'Tab1EQ opt2_1'!S19</f>
        <v>0</v>
      </c>
      <c r="T42" s="66">
        <f>'Tab1EQ opt2_1'!T19</f>
        <v>0</v>
      </c>
      <c r="U42" s="66">
        <f>'Tab1EQ opt2_1'!U19</f>
        <v>0</v>
      </c>
      <c r="V42" s="66">
        <f>'Tab1EQ opt2_1'!V19</f>
        <v>0</v>
      </c>
      <c r="W42" s="66">
        <f>'Tab1EQ opt2_1'!W19</f>
        <v>0</v>
      </c>
      <c r="X42" s="66">
        <f>'Tab1EQ opt2_1'!X19</f>
        <v>0</v>
      </c>
      <c r="Y42" s="66">
        <f>'Tab1EQ opt2_1'!Y19</f>
        <v>0</v>
      </c>
      <c r="Z42" s="66">
        <f>'Tab1EQ opt2_1'!Z19</f>
        <v>0</v>
      </c>
      <c r="AA42" s="67" t="s">
        <v>14</v>
      </c>
      <c r="AB42" s="58" t="s">
        <v>56</v>
      </c>
      <c r="AC42" s="59" t="s">
        <v>15</v>
      </c>
      <c r="AD42" s="60" t="s">
        <v>8</v>
      </c>
      <c r="AE42" s="59" t="s">
        <v>9</v>
      </c>
      <c r="AF42" s="59" t="s">
        <v>57</v>
      </c>
      <c r="AG42" s="60" t="s">
        <v>58</v>
      </c>
      <c r="AH42" s="59" t="s">
        <v>77</v>
      </c>
      <c r="AI42" s="61" t="s">
        <v>204</v>
      </c>
      <c r="AJ42" s="62" t="s">
        <v>16</v>
      </c>
      <c r="AK42" s="62" t="s">
        <v>55</v>
      </c>
      <c r="AL42" s="63" t="s">
        <v>44</v>
      </c>
      <c r="AM42" s="63" t="s">
        <v>43</v>
      </c>
      <c r="AN42" s="62" t="s">
        <v>12</v>
      </c>
      <c r="AO42" s="35" t="s">
        <v>80</v>
      </c>
      <c r="AP42" s="35" t="s">
        <v>81</v>
      </c>
      <c r="AQ42" s="35" t="s">
        <v>82</v>
      </c>
      <c r="AR42" s="35" t="s">
        <v>83</v>
      </c>
      <c r="AS42" s="35" t="s">
        <v>45</v>
      </c>
      <c r="AT42" s="35" t="s">
        <v>17</v>
      </c>
      <c r="AU42" s="35" t="s">
        <v>13</v>
      </c>
      <c r="AV42" s="35" t="s">
        <v>0</v>
      </c>
      <c r="AW42" s="35" t="s">
        <v>11</v>
      </c>
      <c r="AX42" s="35" t="s">
        <v>10</v>
      </c>
      <c r="AY42" s="35" t="s">
        <v>46</v>
      </c>
    </row>
    <row r="43" spans="1:51" ht="18.75" x14ac:dyDescent="0.3">
      <c r="B43" s="36">
        <f>100-C43-D43-E43-F43-G43-H43-I43-J43-K43-L43-M43-N43-O43-P43-Q43-R43-S43-T43-U43-V43-W43-X43-Y43-Z43</f>
        <v>100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68">
        <v>55.84</v>
      </c>
      <c r="AB43" s="7">
        <v>12.01</v>
      </c>
      <c r="AC43" s="7">
        <v>28.0855</v>
      </c>
      <c r="AD43" s="7">
        <v>58.693399999999997</v>
      </c>
      <c r="AE43" s="7">
        <v>63.545999999999999</v>
      </c>
      <c r="AF43" s="7">
        <v>30.973762000000001</v>
      </c>
      <c r="AG43" s="7">
        <v>32.064999999999998</v>
      </c>
      <c r="AH43" s="7">
        <v>14.0067</v>
      </c>
      <c r="AI43" s="7">
        <v>10.81</v>
      </c>
      <c r="AJ43" s="7">
        <v>54.938043999999998</v>
      </c>
      <c r="AK43" s="7">
        <v>95.95</v>
      </c>
      <c r="AL43" s="7">
        <v>51.996099999999998</v>
      </c>
      <c r="AM43" s="7">
        <v>58.933194999999998</v>
      </c>
      <c r="AN43" s="7">
        <v>26.981539999999999</v>
      </c>
      <c r="AO43">
        <v>50.941499999999998</v>
      </c>
      <c r="AP43">
        <v>92.906369999999995</v>
      </c>
      <c r="AQ43">
        <v>183.84</v>
      </c>
      <c r="AR43">
        <v>180.94788</v>
      </c>
      <c r="AS43">
        <v>91.224000000000004</v>
      </c>
      <c r="AT43">
        <v>47.866999999999997</v>
      </c>
      <c r="AU43">
        <v>24.305</v>
      </c>
      <c r="AV43">
        <v>121.76</v>
      </c>
      <c r="AW43" s="7">
        <v>207.2</v>
      </c>
      <c r="AX43" s="7">
        <v>118.71</v>
      </c>
      <c r="AY43" s="7">
        <v>208.9804</v>
      </c>
    </row>
    <row r="44" spans="1:51" ht="18.75" x14ac:dyDescent="0.3">
      <c r="B44" s="36">
        <f>100*((((B43)/(AA43))/(((B43)/(AA43))+((C43)/(AB43))+((D43)/(AC43))+((E43)/(AD43))+((F43)/(AE43))+((G43)/(AF43))+((H43)/(AG43))+((I43)/(AH43))+((J43)/(AI43))+((K43)/(AJ43))+((L43)/(AK43))+((M43)/(AL43))+((N43)/(AM43))+((O43)/(AN43))+((P43)/(AO43))+((Q43)/(AP43))+((R43)/(AQ43))+((S43)/(AR43))+((T43)/(AS43))+((U43)/(AT43))+((V43)/(AU43))+((W43)/(AV43))+((X43)/(AW43))+((Y43)/(AX43))+((Z43)/(AY43)))))</f>
        <v>100</v>
      </c>
      <c r="C44" s="36">
        <f>100*((((C43)/(AB43))/(((B43)/(AA43))+((C43)/(AB43))+((D43)/(AC43))+((E43)/(AD43))+((F43)/(AE43))+((G43)/(AF43))+((H43)/(AG43))+((I43)/(AH43))+((J43)/(AI43))+((K43)/(AJ43))+((L43)/(AK43))+((M43)/(AL43))+((N43)/(AM43))+((O43)/(AN43))+((P43)/(AO43))+((Q43)/(AP43))+((R43)/(AQ43))+((S43)/(AR43))+((T43)/(AS43))+((U43)/(AT43))+((V43)/(AU43))+((W43)/(AV43))+((X43)/(AW43))+((Y43)/(AX43))+((Z43)/(AY43)))))</f>
        <v>0</v>
      </c>
      <c r="D44" s="36">
        <f>100*((((D43)/(AC43))/(((B43)/(AA43))+((C43)/(AB43))+((D43)/(AC43))+((E43)/(AD43))+((F43)/(AE43))+((G43)/(AF43))+((H43)/(AG43))+((I43)/(AH43))+((J43)/(AI43))+((K43)/(AJ43))+((L43)/(AK43))+((M43)/(AL43))+((N43)/(AM43))+((O43)/(AN43))+((P43)/(AO43))+((Q43)/(AP43))+((R43)/(AQ43))+((S43)/(AR43))+((T43)/(AS43))+((U43)/(AT43))+((V43)/(AU43))+((W43)/(AV43))+((X43)/(AW43))+((Y43)/(AX43))+((Z43)/(AY43)))))</f>
        <v>0</v>
      </c>
      <c r="E44" s="36">
        <f>100*((((E43)/(AD43))/(((B43)/(AA43))+((C43)/(AB43))+((D43)/(AC43))+((E43)/(AD43))+((F43)/(AE43))+((G43)/(AF43))+((H43)/(AG43))+((I43)/(AH43))+((J43)/(AI43))+((K43)/(AJ43))+((L43)/(AK43))+((M43)/(AL43))+((N43)/(AM43))+((O43)/(AN43))+((P43)/(AO43))+((Q43)/(AP43))+((R43)/(AQ43))+((S43)/(AR43))+((T43)/(AS43))+((U43)/(AT43))+((V43)/(AU43))+((W43)/(AV43))+((X43)/(AW43))+((Y43)/(AX43))+((Z43)/(AY43)))))</f>
        <v>0</v>
      </c>
      <c r="F44" s="36">
        <f>100*((((F43)/(AE43))/(((B43)/(AA43))+((C43)/(AB43))+((D43)/(AC43))+((E43)/(AD43))+((F43)/(AE43))+((G43)/(AF43))+((H43)/(AG43))+((I43)/(AH43))+((J43)/(AI43))+((K43)/(AJ43))+((L43)/(AK43))+((M43)/(AL43))+((N43)/(AM43))+((O43)/(AN43))+((P43)/(AO43))+((Q43)/(AP43))+((R43)/(AQ43))+((S43)/(AR43))+((T43)/(AS43))+((U43)/(AT43))+((V43)/(AU43))+((W43)/(AV43))+((X43)/(AW43))+((Y43)/(AX43))+((Z43)/(AY43)))))</f>
        <v>0</v>
      </c>
      <c r="G44" s="36">
        <f>100*((((G43)/(AF43))/(((B43)/(AA43))+((C43)/(AB43))+((D43)/(AC43))+((E43)/(AD43))+((F43)/(AE43))+((G43)/(AF43))+((H43)/(AG43))+((I43)/(AH43))+((J43)/(AI43))+((K43)/(AJ43))+((L43)/(AK43))+((M43)/(AL43))+((N43)/(AM43))+((O43)/(AN43))+((P43)/(AO43))+((Q43)/(AP43))+((R43)/(AQ43))+((S43)/(AR43))+((T43)/(AS43))+((U43)/(AT43))+((V43)/(AU43))+((W43)/(AV43))+((X43)/(AW43))+((Y43)/(AX43))+((Z43)/(AY43)))))</f>
        <v>0</v>
      </c>
      <c r="H44" s="36">
        <f>100*((((H43)/(AG43))/(((B43)/(AA43))+((C43)/(AB43))+((D43)/(AC43))+((E43)/(AD43))+((F43)/(AE43))+((G43)/(AF43))+((H43)/(AG43))+((I43)/(AH43))+((J43)/(AI43))+((K43)/(AJ43))+((L43)/(AK43))+((M43)/(AL43))+((N43)/(AM43))+((O43)/(AN43))+((P43)/(AO43))+((Q43)/(AP43))+((R43)/(AQ43))+((S43)/(AR43))+((T43)/(AS43))+((U43)/(AT43))+((V43)/(AU43))+((W43)/(AV43))+((X43)/(AW43))+((Y43)/(AX43))+((Z43)/(AY43)))))</f>
        <v>0</v>
      </c>
      <c r="I44" s="36">
        <f>100*((((I43)/(AH43))/(((B43)/(AA43))+((C43)/(AB43))+((D43)/(AC43))+((E43)/(AD43))+((F43)/(AE43))+((G43)/(AF43))+((H43)/(AG43))+((I43)/(AH43))+((J43)/(AI43))+((K43)/(AJ43))+((L43)/(AK43))+((M43)/(AL43))+((N43)/(AM43))+((O43)/(AN43))+((P43)/(AO43))+((Q43)/(AP43))+((R43)/(AQ43))+((S43)/(AR43))+((T43)/(AS43))+((U43)/(AT43))+((V43)/(AU43))+((W43)/(AV43))+((X43)/(AW43))+((Y43)/(AX43))+((Z43)/(AY43)))))</f>
        <v>0</v>
      </c>
      <c r="J44" s="36">
        <f>100*((((J43)/(AI43))/(((B43)/(AA43))+((C43)/(AB43))+((D43)/(AC43))+((E43)/(AD43))+((F43)/(AE43))+((G43)/(AF43))+((H43)/(AG43))+((I43)/(AH43))+((J43)/(AI43))+((K43)/(AJ43))+((L43)/(AK43))+((M43)/(AL43))+((N43)/(AM43))+((O43)/(AN43))+((P43)/(AO43))+((Q43)/(AP43))+((R43)/(AQ43))+((S43)/(AR43))+((T43)/(AS43))+((U43)/(AT43))+((V43)/(AU43))+((W43)/(AV43))+((X43)/(AW43))+((Y43)/(AX43))+((Z43)/(AY43)))))</f>
        <v>0</v>
      </c>
      <c r="K44" s="36">
        <f>100*((((K43)/(AJ43))/(((B43)/(AA43))+((C43)/(AB43))+((D43)/(AC43))+((E43)/(AD43))+((F43)/(AE43))+((G43)/(AF43))+((H43)/(AG43))+((I43)/(AH43))+((J43)/(AI43))+((K43)/(AJ43))+((L43)/(AK43))+((M43)/(AL43))+((N43)/(AM43))+((O43)/(AN43))+((P43)/(AO43))+((Q43)/(AP43))+((R43)/(AQ43))+((S43)/(AR43))+((T43)/(AS43))+((U43)/(AT43))+((V43)/(AU43))+((W43)/(AV43))+((X43)/(AW43))+((Y43)/(AX43))+((Z43)/(AY43)))))</f>
        <v>0</v>
      </c>
      <c r="L44" s="36">
        <f>100*((((L43)/(AK43))/(((B43)/(AA43))+((C43)/(AB43))+((D43)/(AC43))+((E43)/(AD43))+((F43)/(AE43))+((G43)/(AF43))+((H43)/(AG43))+((I43)/(AH43))+((J43)/(AI43))+((K43)/(AJ43))+((L43)/(AK43))+((M43)/(AL43))+((N43)/(AM43))+((O43)/(AN43))+((P43)/(AO43))+((Q43)/(AP43))+((R43)/(AQ43))+((S43)/(AR43))+((T43)/(AS43))+((U43)/(AT43))+((V43)/(AU43))+((W43)/(AV43))+((X43)/(AW43))+((Y43)/(AX43))+((Z43)/(AY43)))))</f>
        <v>0</v>
      </c>
      <c r="M44" s="36">
        <f>100*((((M43)/(AL43))/(((B43)/(AA43))+((C43)/(AB43))+((D43)/(AC43))+((E43)/(AD43))+((F43)/(AE43))+((G43)/(AF43))+((H43)/(AG43))+((I43)/(AH43))+((J43)/(AI43))+((K43)/(AJ43))+((L43)/(AK43))+((M43)/(AL43))+((N43)/(AM43))+((O43)/(AN43))+((P43)/(AO43))+((Q43)/(AP43))+((R43)/(AQ43))+((S43)/(AR43))+((T43)/(AS43))+((U43)/(AT43))+((V43)/(AU43))+((W43)/(AV43))+((X43)/(AW43))+((Y43)/(AX43))+((Z43)/(AY43)))))</f>
        <v>0</v>
      </c>
      <c r="N44" s="36">
        <f>100*((((N43)/(AM43))/(((B43)/(AA43))+((C43)/(AB43))+((D43)/(AC43))+((E43)/(AD43))+((F43)/(AE43))+((G43)/(AF43))+((H43)/(AG43))+((I43)/(AH43))+((J43)/(AI43))+((K43)/(AJ43))+((L43)/(AK43))+((M43)/(AL43))+((N43)/(AM43))+((O43)/(AN43))+((P43)/(AO43))+((Q43)/(AP43))+((R43)/(AQ43))+((S43)/(AR43))+((T43)/(AS43))+((U43)/(AT43))+((V43)/(AU43))+((W43)/(AV43))+((X43)/(AW43))+((Y43)/(AX43))+((Z43)/(AY43)))))</f>
        <v>0</v>
      </c>
      <c r="O44" s="36">
        <f>100*((((O43)/(AN43))/(((B43)/(AA43))+((C43)/(AB43))+((D43)/(AC43))+((E43)/(AD43))+((F43)/(AE43))+((G43)/(AF43))+((H43)/(AG43))+((I43)/(AH43))+((J43)/(AI43))+((K43)/(AJ43))+((L43)/(AK43))+((M43)/(AL43))+((N43)/(AM43))+((O43)/(AN43))+((P43)/(AO43))+((Q43)/(AP43))+((R43)/(AQ43))+((S43)/(AR43))+((T43)/(AS43))+((U43)/(AT43))+((V43)/(AU43))+((W43)/(AV43))+((X43)/(AW43))+((Y43)/(AX43))+((Z43)/(AY43)))))</f>
        <v>0</v>
      </c>
      <c r="P44" s="36">
        <f>100*((((P43)/(AO43))/(((B43)/(AA43))+((C43)/(AB43))+((D43)/(AC43))+((E43)/(AD43))+((F43)/(AE43))+((G43)/(AF43))+((H43)/(AG43))+((I43)/(AH43))+((J43)/(AI43))+((K43)/(AJ43))+((L43)/(AK43))+((M43)/(AL43))+((N43)/(AM43))+((O43)/(AN43))+((P43)/(AO43))+((Q43)/(AP43))+((R43)/(AQ43))+((S43)/(AR43))+((T43)/(AS43))+((U43)/(AT43))+((V43)/(AU43))+((W43)/(AV43))+((X43)/(AW43))+((Y43)/(AX43))+((Z43)/(AY43)))))</f>
        <v>0</v>
      </c>
      <c r="Q44" s="36">
        <f>100*((((Q43)/(AP43))/(((B43)/(AA43))+((C43)/(AB43))+((D43)/(AC43))+((E43)/(AD43))+((F43)/(AE43))+((G43)/(AF43))+((H43)/(AG43))+((I43)/(AH43))+((J43)/(AI43))+((K43)/(AJ43))+((L43)/(AK43))+((M43)/(AL43))+((N43)/(AM43))+((O43)/(AN43))+((P43)/(AO43))+((Q43)/(AP43))+((R43)/(AQ43))+((S43)/(AR43))+((T43)/(AS43))+((U43)/(AT43))+((V43)/(AU43))+((W43)/(AV43))+((X43)/(AW43))+((Y43)/(AX43))+((Z43)/(AY43)))))</f>
        <v>0</v>
      </c>
      <c r="R44" s="36">
        <f>100*((((R43)/(AQ43))/(((B43)/(AA43))+((C43)/(AB43))+((D43)/(AC43))+((E43)/(AD43))+((F43)/(AE43))+((G43)/(AF43))+((H43)/(AG43))+((I43)/(AH43))+((J43)/(AI43))+((K43)/(AJ43))+((L43)/(AK43))+((M43)/(AL43))+((N43)/(AM43))+((O43)/(AN43))+((P43)/(AO43))+((Q43)/(AP43))+((R43)/(AQ43))+((S43)/(AR43))+((T43)/(AS43))+((U43)/(AT43))+((V43)/(AU43))+((W43)/(AV43))+((X43)/(AW43))+((Y43)/(AX43))+((Z43)/(AY43)))))</f>
        <v>0</v>
      </c>
      <c r="S44" s="36">
        <f>100*((((S43)/(AR43))/(((B43)/(AA43))+((C43)/(AB43))+((D43)/(AC43))+((E43)/(AD43))+((F43)/(AE43))+((G43)/(AF43))+((H43)/(AG43))+((I43)/(AH43))+((J43)/(AI43))+((K43)/(AJ43))+((L43)/(AK43))+((M43)/(AL43))+((N43)/(AM43))+((O43)/(AN43))+((P43)/(AO43))+((Q43)/(AP43))+((R43)/(AQ43))+((S43)/(AR43))+((T43)/(AS43))+((U43)/(AT43))+((V43)/(AU43))+((W43)/(AV43))+((X43)/(AW43))+((Y43)/(AX43))+((Z43)/(AY43)))))</f>
        <v>0</v>
      </c>
      <c r="T44" s="36">
        <f>100*((((T43)/(AS43))/(((B43)/(AA43))+((C43)/(AB43))+((D43)/(AC43))+((E43)/(AD43))+((F43)/(AE43))+((G43)/(AF43))+((H43)/(AG43))+((I43)/(AH43))+((J43)/(AI43))+((K43)/(AJ43))+((L43)/(AK43))+((M43)/(AL43))+((N43)/(AM43))+((O43)/(AN43))+((P43)/(AO43))+((Q43)/(AP43))+((R43)/(AQ43))+((S43)/(AR43))+((T43)/(AS43))+((U43)/(AT43))+((V43)/(AU43))+((W43)/(AV43))+((X43)/(AW43))+((Y43)/(AX43))+((Z43)/(AY43)))))</f>
        <v>0</v>
      </c>
      <c r="U44" s="36">
        <f>100*((((U43)/(AT43))/(((B43)/(AA43))+((C43)/(AB43))+((D43)/(AC43))+((E43)/(AD43))+((F43)/(AE43))+((G43)/(AF43))+((H43)/(AG43))+((I43)/(AH43))+((J43)/(AI43))+((K43)/(AJ43))+((L43)/(AK43))+((M43)/(AL43))+((N43)/(AM43))+((O43)/(AN43))+((P43)/(AO43))+((Q43)/(AP43))+((R43)/(AQ43))+((S43)/(AR43))+((T43)/(AS43))+((U43)/(AT43))+((V43)/(AU43))+((W43)/(AV43))+((X43)/(AW43))+((Y43)/(AX43))+((Z43)/(AY43)))))</f>
        <v>0</v>
      </c>
      <c r="V44" s="36">
        <f>100*((((V43)/(AU43))/(((B43)/(AA43))+((C43)/(AB43))+((D43)/(AC43))+((E43)/(AD43))+((F43)/(AE43))+((G43)/(AF43))+((H43)/(AG43))+((I43)/(AH43))+((J43)/(AI43))+((K43)/(AJ43))+((L43)/(AK43))+((M43)/(AL43))+((N43)/(AM43))+((O43)/(AN43))+((P43)/(AO43))+((Q43)/(AP43))+((R43)/(AQ43))+((S43)/(AR43))+((T43)/(AS43))+((U43)/(AT43))+((V43)/(AU43))+((W43)/(AV43))+((X43)/(AW43))+((Y43)/(AX43))+((Z43)/(AY43)))))</f>
        <v>0</v>
      </c>
      <c r="W44" s="36">
        <f>100*((((W43)/(AV43))/(((B43)/(AA43))+((C43)/(AB43))+((D43)/(AC43))+((E43)/(AD43))+((F43)/(AE43))+((G43)/(AF43))+((H43)/(AG43))+((I43)/(AH43))+((J43)/(AI43))+((K43)/(AJ43))+((L43)/(AK43))+((M43)/(AL43))+((N43)/(AM43))+((O43)/(AN43))+((P43)/(AO43))+((Q43)/(AP43))+((R43)/(AQ43))+((S43)/(AR43))+((T43)/(AS43))+((U43)/(AT43))+((V43)/(AU43))+((W43)/(AV43))+((X43)/(AW43))+((Y43)/(AX43))+((Z43)/(AY43)))))</f>
        <v>0</v>
      </c>
      <c r="X44" s="7">
        <f>100*((((X43)/(AW43))/(((B43)/(AA43))+((C43)/(AB43))+((D43)/(AC43))+((E43)/(AD43))+((F43)/(AE43))+((G43)/(AF43))+((H43)/(AG43))+((I43)/(AH43))+((J43)/(AI43))+((K43)/(AJ43))+((L43)/(AK43))+((M43)/(AL43))+((N43)/(AM43))+((O43)/(AN43))+((P43)/(AO43))+((Q43)/(AP43))+((R43)/(AQ43))+((S43)/(AR43))+((T43)/(AS43))+((U43)/(AT43))+((V43)/(AU43))+((W43)/(AV43))+((X43)/(AW43))+((Y43)/(AX43))+((Z43)/(AY43)))))</f>
        <v>0</v>
      </c>
      <c r="Y44" s="7">
        <f>100*((((Y43)/(AX43))/(((B43)/(AA43))+((C43)/(AB43))+((D43)/(AC43))+((E43)/(AD43))+((F43)/(AE43))+((G43)/(AF43))+((H43)/(AG43))+((I43)/(AH43))+((J43)/(AI43))+((K43)/(AJ43))+((L43)/(AK43))+((M43)/(AL43))+((N43)/(AM43))+((O43)/(AN43))+((P43)/(AO43))+((Q43)/(AP43))+((R43)/(AQ43))+((S43)/(AR43))+((T43)/(AS43))+((U43)/(AT43))+((V43)/(AU43))+((W43)/(AV43))+((X43)/(AW43))+((Y43)/(AX43))+((Z43)/(AY43)))))</f>
        <v>0</v>
      </c>
      <c r="Z44" s="7">
        <f>100*((((Z43)/(AY43))/(((B43)/(AA43))+((C43)/(AB43))+((D43)/(AC43))+((E43)/(AD43))+((F43)/(AE43))+((G43)/(AF43))+((H43)/(AG43))+((I43)/(AH43))+((J43)/(AI43))+((K43)/(AJ43))+((L43)/(AK43))+((M43)/(AL43))+((N43)/(AM43))+((O43)/(AN43))+((P43)/(AO43))+((Q43)/(AP43))+((R43)/(AQ43))+((S43)/(AR43))+((T43)/(AS43))+((U43)/(AT43))+((V43)/(AU43))+((W43)/(AV43))+((X43)/(AW43))+((Y43)/(AX43))+((Z43)/(AY43)))))</f>
        <v>0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</row>
    <row r="45" spans="1:51" ht="23.25" x14ac:dyDescent="0.35">
      <c r="B45" s="70" t="s">
        <v>87</v>
      </c>
      <c r="C45" s="73" t="e">
        <f>B44/C44</f>
        <v>#DIV/0!</v>
      </c>
      <c r="D45" s="73" t="e">
        <f>B44/D44</f>
        <v>#DIV/0!</v>
      </c>
      <c r="E45" s="73" t="e">
        <f>B44/E44</f>
        <v>#DIV/0!</v>
      </c>
      <c r="F45" s="73" t="e">
        <f>B44/F44</f>
        <v>#DIV/0!</v>
      </c>
      <c r="G45" s="74" t="e">
        <f>B44/G44</f>
        <v>#DIV/0!</v>
      </c>
      <c r="H45" s="74" t="e">
        <f>B44/H44</f>
        <v>#DIV/0!</v>
      </c>
      <c r="I45" s="74" t="e">
        <f>B44/I44</f>
        <v>#DIV/0!</v>
      </c>
      <c r="J45" s="75" t="e">
        <f>B44/J44</f>
        <v>#DIV/0!</v>
      </c>
      <c r="K45" s="75" t="e">
        <f>B44/K44</f>
        <v>#DIV/0!</v>
      </c>
      <c r="L45" s="75" t="e">
        <f>B44/L44</f>
        <v>#DIV/0!</v>
      </c>
      <c r="M45" s="75" t="e">
        <f>B44/M44</f>
        <v>#DIV/0!</v>
      </c>
      <c r="N45" s="75" t="e">
        <f>B44/N44</f>
        <v>#DIV/0!</v>
      </c>
      <c r="O45" s="75" t="e">
        <f>B44/O44</f>
        <v>#DIV/0!</v>
      </c>
      <c r="P45" s="71" t="e">
        <f>B44/P44</f>
        <v>#DIV/0!</v>
      </c>
      <c r="Q45" s="71"/>
      <c r="R45" s="71"/>
      <c r="S45" s="71"/>
    </row>
    <row r="46" spans="1:51" ht="23.25" x14ac:dyDescent="0.35">
      <c r="B46" s="71"/>
      <c r="C46" s="71" t="e">
        <f>599*B44/100/C45</f>
        <v>#DIV/0!</v>
      </c>
      <c r="D46" s="71" t="e">
        <f>599*B44/100/D45</f>
        <v>#DIV/0!</v>
      </c>
      <c r="E46" s="71" t="e">
        <f>599*B44/100/E45</f>
        <v>#DIV/0!</v>
      </c>
      <c r="F46" s="71" t="e">
        <f>599*B44/100/F45</f>
        <v>#DIV/0!</v>
      </c>
      <c r="G46" s="71" t="e">
        <f>599*B44/100/G45</f>
        <v>#DIV/0!</v>
      </c>
      <c r="H46" s="71" t="e">
        <f>599*B44/100/H45</f>
        <v>#DIV/0!</v>
      </c>
      <c r="I46" s="71" t="e">
        <f>599*B44/100/I45</f>
        <v>#DIV/0!</v>
      </c>
      <c r="J46" s="71" t="e">
        <f>599*B44/100/J45</f>
        <v>#DIV/0!</v>
      </c>
      <c r="K46" s="71" t="e">
        <f>599*B44/100/K45</f>
        <v>#DIV/0!</v>
      </c>
      <c r="L46" s="71" t="e">
        <f>599*B44/100/L45</f>
        <v>#DIV/0!</v>
      </c>
      <c r="M46" s="71" t="e">
        <f>599*B44/100/M45</f>
        <v>#DIV/0!</v>
      </c>
      <c r="N46" s="71" t="e">
        <f>599*B44/100/N45</f>
        <v>#DIV/0!</v>
      </c>
      <c r="O46" s="71" t="e">
        <f>599*B44/100/O45</f>
        <v>#DIV/0!</v>
      </c>
      <c r="P46" s="71" t="e">
        <f>599*N44/100/P45</f>
        <v>#DIV/0!</v>
      </c>
      <c r="Q46" s="71" t="e">
        <f>599*P44/100/Q45</f>
        <v>#DIV/0!</v>
      </c>
      <c r="R46" s="71"/>
      <c r="S46" s="71"/>
    </row>
    <row r="47" spans="1:51" ht="23.25" x14ac:dyDescent="0.35">
      <c r="B47" s="71" t="s">
        <v>88</v>
      </c>
      <c r="C47" s="76" t="e">
        <f>C46+D46+F46</f>
        <v>#DIV/0!</v>
      </c>
      <c r="D47" s="77"/>
      <c r="E47" s="77" t="e">
        <f>C46+F46+E46</f>
        <v>#DIV/0!</v>
      </c>
      <c r="F47" s="77"/>
      <c r="G47" s="77">
        <v>94</v>
      </c>
      <c r="H47" s="77"/>
      <c r="I47" s="77"/>
      <c r="J47" s="77" t="e">
        <f>J46+O46</f>
        <v>#DIV/0!</v>
      </c>
      <c r="K47" s="77"/>
      <c r="L47" s="77"/>
      <c r="M47" s="77"/>
      <c r="N47" s="77"/>
      <c r="O47" s="77"/>
      <c r="P47" s="77"/>
      <c r="Q47" s="71"/>
      <c r="R47" s="71"/>
      <c r="S47" s="71"/>
    </row>
    <row r="48" spans="1:51" ht="23.25" x14ac:dyDescent="0.35">
      <c r="B48" s="78" t="s">
        <v>89</v>
      </c>
      <c r="C48" s="79" t="e">
        <f>J46+K46</f>
        <v>#DIV/0!</v>
      </c>
      <c r="D48" s="71"/>
      <c r="E48" s="80" t="e">
        <f>K46+M46</f>
        <v>#DIV/0!</v>
      </c>
      <c r="F48" s="71"/>
      <c r="G48" s="71">
        <v>0.5</v>
      </c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</row>
    <row r="49" spans="2:19" ht="23.25" x14ac:dyDescent="0.35">
      <c r="B49" s="71" t="s">
        <v>13</v>
      </c>
      <c r="C49" s="71">
        <f>J44</f>
        <v>0</v>
      </c>
      <c r="D49" s="71"/>
      <c r="E49" s="71" t="e">
        <f>J46</f>
        <v>#DIV/0!</v>
      </c>
      <c r="F49" s="71"/>
      <c r="G49" s="71">
        <v>0.5</v>
      </c>
      <c r="H49" s="71"/>
      <c r="I49" s="71"/>
      <c r="J49" s="71">
        <v>98</v>
      </c>
      <c r="K49" s="81">
        <f>J49*100/599</f>
        <v>16.360601001669448</v>
      </c>
      <c r="L49" s="71">
        <v>94.49</v>
      </c>
      <c r="M49" s="71"/>
      <c r="N49" s="71"/>
      <c r="O49" s="71"/>
      <c r="P49" s="71"/>
      <c r="Q49" s="71"/>
      <c r="R49" s="71"/>
      <c r="S49" s="71"/>
    </row>
    <row r="50" spans="2:19" ht="23.25" x14ac:dyDescent="0.35">
      <c r="B50" s="71" t="s">
        <v>15</v>
      </c>
      <c r="C50" s="89">
        <f>D44</f>
        <v>0</v>
      </c>
      <c r="D50" s="89"/>
      <c r="E50" s="89" t="e">
        <f>D46</f>
        <v>#DIV/0!</v>
      </c>
      <c r="F50" s="89"/>
      <c r="G50" s="89">
        <v>23</v>
      </c>
      <c r="J50" s="71">
        <v>0.5</v>
      </c>
      <c r="K50" s="81">
        <f t="shared" ref="K50:K51" si="13">J50*100/599</f>
        <v>8.347245409015025E-2</v>
      </c>
      <c r="L50" s="71">
        <v>95.82</v>
      </c>
      <c r="N50" s="71"/>
      <c r="O50" s="71"/>
      <c r="P50" s="71"/>
      <c r="Q50" s="71"/>
      <c r="R50" s="71"/>
      <c r="S50" s="71"/>
    </row>
    <row r="51" spans="2:19" ht="23.25" x14ac:dyDescent="0.35">
      <c r="B51" s="71" t="s">
        <v>67</v>
      </c>
      <c r="C51" s="89" t="e">
        <f>C47+C48</f>
        <v>#DIV/0!</v>
      </c>
      <c r="D51" s="89"/>
      <c r="E51" s="89" t="e">
        <f>E47+E48+E49+E50</f>
        <v>#DIV/0!</v>
      </c>
      <c r="F51" s="89"/>
      <c r="G51" s="89">
        <f>G47+G48+G49+G50</f>
        <v>118</v>
      </c>
      <c r="J51" s="71">
        <v>23</v>
      </c>
      <c r="K51" s="81">
        <f t="shared" si="13"/>
        <v>3.8397328881469117</v>
      </c>
      <c r="L51" s="71">
        <v>89.48</v>
      </c>
      <c r="N51" s="71"/>
      <c r="O51" s="71"/>
      <c r="P51" s="71"/>
      <c r="Q51" s="71"/>
      <c r="R51" s="71"/>
      <c r="S51" s="71"/>
    </row>
    <row r="52" spans="2:19" ht="23.25" x14ac:dyDescent="0.35">
      <c r="N52" s="71"/>
      <c r="O52" s="71"/>
      <c r="P52" s="71"/>
      <c r="Q52" s="71"/>
      <c r="R52" s="71"/>
      <c r="S52" s="71"/>
    </row>
  </sheetData>
  <mergeCells count="1">
    <mergeCell ref="G12:M12"/>
  </mergeCells>
  <phoneticPr fontId="61" type="noConversion"/>
  <conditionalFormatting sqref="B9">
    <cfRule type="expression" dxfId="8" priority="7">
      <formula>OR(B9&gt;B5, B9&lt;B6)</formula>
    </cfRule>
  </conditionalFormatting>
  <conditionalFormatting sqref="C4 J4:K4">
    <cfRule type="expression" dxfId="7" priority="70">
      <formula>OR(C5&gt;C4, C6&lt;C4)</formula>
    </cfRule>
  </conditionalFormatting>
  <conditionalFormatting sqref="C4:Z4">
    <cfRule type="expression" dxfId="6" priority="13">
      <formula>OR(C4&lt;C5, C4&gt;C6)</formula>
    </cfRule>
  </conditionalFormatting>
  <conditionalFormatting sqref="C9:Z9">
    <cfRule type="expression" dxfId="5" priority="37">
      <formula>OR(C9&lt;C10, C9&gt;C11)</formula>
    </cfRule>
    <cfRule type="expression" dxfId="4" priority="68">
      <formula>OR(C10&gt;C9, C11&lt;C9)</formula>
    </cfRule>
  </conditionalFormatting>
  <conditionalFormatting sqref="S10">
    <cfRule type="expression" dxfId="3" priority="4">
      <formula>OR(S9&lt;S10, S9&gt;S11)</formula>
    </cfRule>
  </conditionalFormatting>
  <conditionalFormatting sqref="B28">
    <cfRule type="expression" dxfId="2" priority="2">
      <formula>OR(B35&gt;B31, B35&lt;B32)</formula>
    </cfRule>
    <cfRule type="expression" dxfId="1" priority="3">
      <formula>OR(B30&gt;B31, B30&lt;B32)</formula>
    </cfRule>
  </conditionalFormatting>
  <conditionalFormatting sqref="S5">
    <cfRule type="expression" dxfId="0" priority="1">
      <formula>OR(S4&lt;S5, S4&gt;S6)</formula>
    </cfRule>
  </conditionalFormatting>
  <pageMargins left="0.7" right="0.7" top="0.78740157499999996" bottom="0.78740157499999996" header="0.3" footer="0.3"/>
  <pageSetup paperSize="9" orientation="portrait" verticalDpi="597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F5280-96F5-4F59-A9E8-AC4C70A0E427}">
  <dimension ref="A1:AZ24"/>
  <sheetViews>
    <sheetView zoomScale="84" zoomScaleNormal="84" workbookViewId="0">
      <selection activeCell="D24" sqref="D24"/>
    </sheetView>
  </sheetViews>
  <sheetFormatPr baseColWidth="10" defaultColWidth="8.7109375" defaultRowHeight="15" x14ac:dyDescent="0.25"/>
  <cols>
    <col min="1" max="1" width="24.42578125" customWidth="1"/>
    <col min="2" max="2" width="16" customWidth="1"/>
    <col min="3" max="3" width="13.5703125" customWidth="1"/>
    <col min="4" max="4" width="11.28515625" customWidth="1"/>
    <col min="5" max="5" width="10.85546875" customWidth="1"/>
    <col min="6" max="6" width="6.140625" customWidth="1"/>
    <col min="7" max="7" width="5.7109375" customWidth="1"/>
    <col min="8" max="8" width="6.5703125" customWidth="1"/>
    <col min="9" max="9" width="9.42578125" customWidth="1"/>
    <col min="10" max="11" width="12.7109375" customWidth="1"/>
    <col min="12" max="12" width="10.5703125" customWidth="1"/>
    <col min="13" max="13" width="8.7109375" customWidth="1"/>
    <col min="14" max="14" width="9.7109375" customWidth="1"/>
    <col min="15" max="15" width="9.5703125" customWidth="1"/>
    <col min="16" max="17" width="8.85546875" bestFit="1" customWidth="1"/>
  </cols>
  <sheetData>
    <row r="1" spans="1:52" ht="21" x14ac:dyDescent="0.35">
      <c r="A1" s="89" t="s">
        <v>34</v>
      </c>
      <c r="B1" s="89"/>
      <c r="C1" s="89">
        <f>C5-C2</f>
        <v>3.0806052622011419</v>
      </c>
      <c r="D1" s="89">
        <f>D4-D2</f>
        <v>1.3390140731654472</v>
      </c>
      <c r="E1" s="89">
        <f>E2-E5</f>
        <v>0</v>
      </c>
      <c r="F1" s="89">
        <f>F4-F2</f>
        <v>0</v>
      </c>
      <c r="G1" s="89">
        <f t="shared" ref="G1:O1" si="0">G4-G2</f>
        <v>0.91521970155323784</v>
      </c>
      <c r="H1" s="89">
        <f t="shared" si="0"/>
        <v>8.8718546811123438E-3</v>
      </c>
      <c r="I1" s="89">
        <f>I4-I2</f>
        <v>1.7139854382745025E-3</v>
      </c>
      <c r="J1" s="89">
        <f>J5-J2</f>
        <v>0</v>
      </c>
      <c r="K1" s="89">
        <f>K5-K2</f>
        <v>0</v>
      </c>
      <c r="L1" s="89">
        <f t="shared" si="0"/>
        <v>1.6006086588236572</v>
      </c>
      <c r="M1" s="89">
        <f t="shared" si="0"/>
        <v>2.2612196288118464E-3</v>
      </c>
      <c r="N1" s="89">
        <f t="shared" si="0"/>
        <v>1.3740766327042508</v>
      </c>
      <c r="O1" s="89">
        <f t="shared" si="0"/>
        <v>0.10882959025400381</v>
      </c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</row>
    <row r="2" spans="1:52" ht="21" x14ac:dyDescent="0.35">
      <c r="A2" s="89" t="s">
        <v>37</v>
      </c>
      <c r="B2" s="138">
        <f>100-C2-D2-E2-F2-G2-H2-I2-J2-K2-L2-M2-N2-O2</f>
        <v>100</v>
      </c>
      <c r="C2" s="89">
        <f>'1.0330_3'!C15</f>
        <v>0</v>
      </c>
      <c r="D2" s="89">
        <f>'1.0330_3'!D15</f>
        <v>0</v>
      </c>
      <c r="E2" s="89">
        <f>'1.0330_3'!E15</f>
        <v>0</v>
      </c>
      <c r="F2" s="89">
        <f>'1.0330_3'!F15</f>
        <v>0</v>
      </c>
      <c r="G2" s="89">
        <f>'1.0330_3'!G15</f>
        <v>0</v>
      </c>
      <c r="H2" s="89">
        <f>'1.0330_3'!H15</f>
        <v>0</v>
      </c>
      <c r="I2" s="89">
        <f>'1.0330_3'!I15</f>
        <v>0</v>
      </c>
      <c r="J2" s="89">
        <f>'1.0330_3'!J15</f>
        <v>0</v>
      </c>
      <c r="K2" s="89">
        <f>'1.0330_3'!K15</f>
        <v>0</v>
      </c>
      <c r="L2" s="89">
        <f>'1.0330_3'!L15</f>
        <v>0</v>
      </c>
      <c r="M2" s="89">
        <f>'1.0330_3'!M15</f>
        <v>0</v>
      </c>
      <c r="N2" s="89">
        <f>'1.0330_3'!N15</f>
        <v>0</v>
      </c>
      <c r="O2" s="89">
        <f>'1.0330_3'!O15</f>
        <v>0</v>
      </c>
      <c r="P2" s="89">
        <f>'1.0330_3'!P15</f>
        <v>0</v>
      </c>
      <c r="Q2" s="89">
        <f>'1.0330_3'!Q15</f>
        <v>0</v>
      </c>
      <c r="R2" s="89">
        <f>'1.0330_3'!R15</f>
        <v>0</v>
      </c>
      <c r="S2" s="89">
        <f>'1.0330_3'!S15</f>
        <v>0</v>
      </c>
      <c r="T2" s="89">
        <f>'1.0330_3'!T15</f>
        <v>0</v>
      </c>
      <c r="U2" s="89">
        <f>'1.0330_3'!U15</f>
        <v>0</v>
      </c>
      <c r="V2" s="89">
        <f>'1.0330_3'!V15</f>
        <v>0</v>
      </c>
      <c r="W2" s="89">
        <f>'1.0330_3'!W15</f>
        <v>0</v>
      </c>
      <c r="X2" s="89">
        <f>'1.0330_3'!X15</f>
        <v>0</v>
      </c>
      <c r="Y2" s="89">
        <f>'1.0330_3'!Y15</f>
        <v>0</v>
      </c>
      <c r="Z2" s="89">
        <f>'1.0330_3'!Z15</f>
        <v>0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</row>
    <row r="3" spans="1:52" ht="21" x14ac:dyDescent="0.35">
      <c r="A3" s="89"/>
      <c r="B3" s="210" t="s">
        <v>14</v>
      </c>
      <c r="C3" s="210" t="s">
        <v>15</v>
      </c>
      <c r="D3" s="210" t="s">
        <v>8</v>
      </c>
      <c r="E3" s="210" t="s">
        <v>9</v>
      </c>
      <c r="F3" s="210" t="s">
        <v>234</v>
      </c>
      <c r="G3" s="210" t="s">
        <v>56</v>
      </c>
      <c r="H3" s="210" t="s">
        <v>57</v>
      </c>
      <c r="I3" s="210" t="s">
        <v>58</v>
      </c>
      <c r="J3" s="210" t="s">
        <v>77</v>
      </c>
      <c r="K3" s="210" t="s">
        <v>204</v>
      </c>
      <c r="L3" s="210" t="s">
        <v>16</v>
      </c>
      <c r="M3" s="210" t="s">
        <v>12</v>
      </c>
      <c r="N3" s="210" t="s">
        <v>44</v>
      </c>
      <c r="O3" s="210" t="s">
        <v>55</v>
      </c>
      <c r="P3" s="210" t="s">
        <v>17</v>
      </c>
      <c r="Q3" s="210" t="s">
        <v>80</v>
      </c>
      <c r="R3" s="210" t="s">
        <v>81</v>
      </c>
      <c r="S3" s="210" t="s">
        <v>82</v>
      </c>
      <c r="T3" s="210" t="s">
        <v>83</v>
      </c>
      <c r="U3" s="210" t="s">
        <v>45</v>
      </c>
      <c r="V3" s="210" t="s">
        <v>43</v>
      </c>
      <c r="W3" s="210" t="s">
        <v>13</v>
      </c>
      <c r="X3" s="210" t="s">
        <v>0</v>
      </c>
      <c r="Y3" s="210" t="s">
        <v>11</v>
      </c>
      <c r="Z3" s="210" t="s">
        <v>10</v>
      </c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</row>
    <row r="4" spans="1:52" ht="21" x14ac:dyDescent="0.35">
      <c r="A4" s="89" t="s">
        <v>35</v>
      </c>
      <c r="B4" s="89">
        <f>100-C4-D4-E4-F4-G4-H4-I4-J4-K4-L4-M4-N4-O4-P4-Q4-R4-S4-T4-U4-V4-W4-X4-Y4-Z4</f>
        <v>92.840162287943642</v>
      </c>
      <c r="C4" s="89">
        <f>'opt 1'!B3</f>
        <v>1.741591189035695</v>
      </c>
      <c r="D4" s="89">
        <f>'opt 1'!C3</f>
        <v>1.3390140731654472</v>
      </c>
      <c r="E4" s="89">
        <f>'opt 1'!D3</f>
        <v>0</v>
      </c>
      <c r="F4" s="89">
        <f>'opt 1'!E3</f>
        <v>0</v>
      </c>
      <c r="G4" s="89">
        <f>'opt 1'!F3</f>
        <v>0.91521970155323784</v>
      </c>
      <c r="H4" s="89">
        <f>'opt 1'!G3</f>
        <v>8.8718546811123438E-3</v>
      </c>
      <c r="I4" s="89">
        <f>'opt 1'!H3</f>
        <v>1.7139854382745025E-3</v>
      </c>
      <c r="J4" s="89">
        <f>'opt 1'!I3</f>
        <v>3.9237609914021089E-3</v>
      </c>
      <c r="K4" s="89">
        <f>'opt 1'!J3</f>
        <v>7.6261253115085933E-3</v>
      </c>
      <c r="L4" s="89">
        <f>'opt 1'!K3</f>
        <v>1.6006086588236572</v>
      </c>
      <c r="M4" s="89">
        <f>'opt 1'!L3</f>
        <v>2.2612196288118464E-3</v>
      </c>
      <c r="N4" s="89">
        <f>'opt 1'!M3</f>
        <v>1.3740766327042508</v>
      </c>
      <c r="O4" s="89">
        <f>'opt 1'!N3</f>
        <v>0.10882959025400381</v>
      </c>
      <c r="P4" s="89">
        <f>'opt 1'!O3</f>
        <v>0</v>
      </c>
      <c r="Q4" s="89">
        <f>'opt 1'!P3</f>
        <v>5.6100920468972061E-2</v>
      </c>
      <c r="R4" s="89">
        <f>'opt 1'!Q3</f>
        <v>0</v>
      </c>
      <c r="S4" s="89">
        <f>'opt 1'!R3</f>
        <v>0</v>
      </c>
      <c r="T4" s="89">
        <f>'opt 1'!S3</f>
        <v>0</v>
      </c>
      <c r="U4" s="89">
        <f>'opt 1'!T3</f>
        <v>0</v>
      </c>
      <c r="V4" s="89">
        <f>'opt 1'!U3</f>
        <v>0</v>
      </c>
      <c r="W4" s="89">
        <f>'opt 1'!V3</f>
        <v>0</v>
      </c>
      <c r="X4" s="89">
        <f>'opt 1'!W3</f>
        <v>0</v>
      </c>
      <c r="Y4" s="89">
        <f>'opt 1'!X3</f>
        <v>0</v>
      </c>
      <c r="Z4" s="89">
        <f>'opt 1'!Y3</f>
        <v>0</v>
      </c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</row>
    <row r="5" spans="1:52" ht="21" x14ac:dyDescent="0.35">
      <c r="A5" s="89" t="s">
        <v>36</v>
      </c>
      <c r="B5" s="89">
        <f>100-C5-D5-E5-F5-G5-H5-I5-J5-K5-L5-M5-N5-O5</f>
        <v>95.129458622201113</v>
      </c>
      <c r="C5" s="149">
        <f>C4+D4+E4+F4</f>
        <v>3.0806052622011419</v>
      </c>
      <c r="D5" s="158"/>
      <c r="E5" s="159"/>
      <c r="F5" s="159"/>
      <c r="G5" s="159">
        <f>G2+H4+I4+J4+K4</f>
        <v>2.2135726422297549E-2</v>
      </c>
      <c r="H5" s="159"/>
      <c r="I5" s="159"/>
      <c r="J5" s="149"/>
      <c r="K5" s="149"/>
      <c r="L5" s="7">
        <f>L4</f>
        <v>1.6006086588236572</v>
      </c>
      <c r="M5" s="7">
        <f>M4+P4+Q4+R4+S4+T4+U4+V4+W4+X4+Y4+Z4</f>
        <v>5.8362140097783906E-2</v>
      </c>
      <c r="N5" s="7">
        <f>N2+O4</f>
        <v>0.10882959025400381</v>
      </c>
      <c r="O5" s="7"/>
      <c r="P5" s="7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</row>
    <row r="6" spans="1:52" ht="21" x14ac:dyDescent="0.35">
      <c r="A6" s="89"/>
      <c r="B6" s="8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</row>
    <row r="7" spans="1:52" ht="21" x14ac:dyDescent="0.35">
      <c r="A7" s="89" t="s">
        <v>92</v>
      </c>
      <c r="B7" s="139">
        <f>100-C7-D7-E7-F7-G7-H7-I7-J7-K7-L7-M7-N7-O7-P7-Q7-R7-S7-T7-U7-V7-W7-X7-Y7-Z7</f>
        <v>101.52608031031072</v>
      </c>
      <c r="C7" s="156">
        <f>C2-D4-E4-F4</f>
        <v>-1.3390140731654472</v>
      </c>
      <c r="D7" s="156">
        <f>D2</f>
        <v>0</v>
      </c>
      <c r="E7" s="156"/>
      <c r="F7" s="156"/>
      <c r="G7" s="156">
        <f>G2-H4-I4-J4-K4</f>
        <v>-2.2135726422297549E-2</v>
      </c>
      <c r="H7" s="156"/>
      <c r="I7" s="156"/>
      <c r="J7" s="156"/>
      <c r="K7" s="156"/>
      <c r="L7" s="156">
        <f>L2</f>
        <v>0</v>
      </c>
      <c r="M7" s="156">
        <f>M2-P4-Q4-R4-S4-T4-U4-V4-W4-X4-Y4-Z4</f>
        <v>-5.6100920468972061E-2</v>
      </c>
      <c r="N7" s="156">
        <f>N2-O4</f>
        <v>-0.10882959025400381</v>
      </c>
      <c r="O7" s="156"/>
      <c r="P7" s="156"/>
      <c r="Q7" s="177"/>
      <c r="R7" s="177"/>
      <c r="S7" s="177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</row>
    <row r="8" spans="1:52" ht="21" x14ac:dyDescent="0.35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</row>
    <row r="9" spans="1:52" ht="21" x14ac:dyDescent="0.35">
      <c r="A9" s="89"/>
      <c r="B9" s="89"/>
      <c r="C9" s="89"/>
      <c r="D9" s="89"/>
      <c r="E9" s="89"/>
      <c r="F9" s="89" t="s">
        <v>7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</row>
    <row r="10" spans="1:52" ht="21" x14ac:dyDescent="0.35">
      <c r="A10" s="89" t="s">
        <v>32</v>
      </c>
      <c r="B10" s="180"/>
      <c r="C10" s="180"/>
      <c r="D10" s="89"/>
      <c r="E10" s="180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</row>
    <row r="11" spans="1:52" ht="21" x14ac:dyDescent="0.35">
      <c r="A11" s="89" t="s">
        <v>33</v>
      </c>
      <c r="B11" s="181"/>
      <c r="C11" s="181"/>
      <c r="D11" s="89"/>
      <c r="E11" s="181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</row>
    <row r="12" spans="1:52" ht="21" x14ac:dyDescent="0.35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</row>
    <row r="13" spans="1:52" ht="21" x14ac:dyDescent="0.35">
      <c r="A13" s="89"/>
      <c r="B13" s="89" t="s">
        <v>14</v>
      </c>
      <c r="C13" s="180" t="s">
        <v>56</v>
      </c>
      <c r="D13" s="180" t="s">
        <v>15</v>
      </c>
      <c r="E13" s="181" t="s">
        <v>8</v>
      </c>
      <c r="F13" s="180" t="s">
        <v>9</v>
      </c>
      <c r="G13" s="180" t="s">
        <v>57</v>
      </c>
      <c r="H13" s="181" t="s">
        <v>58</v>
      </c>
      <c r="I13" s="180" t="s">
        <v>77</v>
      </c>
      <c r="J13" s="181" t="s">
        <v>13</v>
      </c>
      <c r="K13" s="180" t="s">
        <v>16</v>
      </c>
      <c r="L13" s="180" t="s">
        <v>55</v>
      </c>
      <c r="M13" s="181" t="s">
        <v>44</v>
      </c>
      <c r="N13" s="181" t="s">
        <v>10</v>
      </c>
      <c r="O13" s="180" t="s">
        <v>12</v>
      </c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</row>
    <row r="14" spans="1:52" ht="21" x14ac:dyDescent="0.35">
      <c r="A14" s="89" t="s">
        <v>39</v>
      </c>
      <c r="B14" s="89">
        <f>100-(C14+D14+E14+F14+G14+H14+I14+J14+K14+L14+M14+N14+O14)</f>
        <v>99.549077957567704</v>
      </c>
      <c r="C14" s="89">
        <f>C5-C1</f>
        <v>0</v>
      </c>
      <c r="D14" s="89">
        <f>D5-D1</f>
        <v>-1.3390140731654472</v>
      </c>
      <c r="E14" s="89">
        <f t="shared" ref="E14:I14" si="1">E5</f>
        <v>0</v>
      </c>
      <c r="F14" s="89">
        <f t="shared" si="1"/>
        <v>0</v>
      </c>
      <c r="G14" s="89">
        <f t="shared" si="1"/>
        <v>2.2135726422297549E-2</v>
      </c>
      <c r="H14" s="89">
        <f t="shared" si="1"/>
        <v>0</v>
      </c>
      <c r="I14" s="89">
        <f t="shared" si="1"/>
        <v>0</v>
      </c>
      <c r="J14" s="89">
        <f>J5-J1</f>
        <v>0</v>
      </c>
      <c r="K14" s="89">
        <f>K5-K1</f>
        <v>0</v>
      </c>
      <c r="L14" s="89">
        <f t="shared" ref="L14:O14" si="2">L5</f>
        <v>1.6006086588236572</v>
      </c>
      <c r="M14" s="89">
        <f t="shared" si="2"/>
        <v>5.8362140097783906E-2</v>
      </c>
      <c r="N14" s="89">
        <f t="shared" si="2"/>
        <v>0.10882959025400381</v>
      </c>
      <c r="O14" s="89">
        <f t="shared" si="2"/>
        <v>0</v>
      </c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</row>
    <row r="15" spans="1:52" ht="21" x14ac:dyDescent="0.3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</row>
    <row r="16" spans="1:52" ht="21" x14ac:dyDescent="0.3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</row>
    <row r="17" spans="1:52" ht="21" x14ac:dyDescent="0.35">
      <c r="A17" s="89"/>
      <c r="B17" s="210" t="s">
        <v>14</v>
      </c>
      <c r="C17" s="210" t="s">
        <v>15</v>
      </c>
      <c r="D17" s="210" t="s">
        <v>8</v>
      </c>
      <c r="E17" s="210" t="s">
        <v>9</v>
      </c>
      <c r="F17" s="210" t="s">
        <v>234</v>
      </c>
      <c r="G17" s="210" t="s">
        <v>56</v>
      </c>
      <c r="H17" s="210" t="s">
        <v>57</v>
      </c>
      <c r="I17" s="210" t="s">
        <v>58</v>
      </c>
      <c r="J17" s="210" t="s">
        <v>77</v>
      </c>
      <c r="K17" s="210" t="s">
        <v>204</v>
      </c>
      <c r="L17" s="210" t="s">
        <v>16</v>
      </c>
      <c r="M17" s="210" t="s">
        <v>12</v>
      </c>
      <c r="N17" s="210" t="s">
        <v>44</v>
      </c>
      <c r="O17" s="210" t="s">
        <v>55</v>
      </c>
      <c r="P17" s="210" t="s">
        <v>17</v>
      </c>
      <c r="Q17" s="210" t="s">
        <v>80</v>
      </c>
      <c r="R17" s="210" t="s">
        <v>81</v>
      </c>
      <c r="S17" s="210" t="s">
        <v>82</v>
      </c>
      <c r="T17" s="210" t="s">
        <v>83</v>
      </c>
      <c r="U17" s="210" t="s">
        <v>45</v>
      </c>
      <c r="V17" s="210" t="s">
        <v>43</v>
      </c>
      <c r="W17" s="210" t="s">
        <v>13</v>
      </c>
      <c r="X17" s="210" t="s">
        <v>0</v>
      </c>
      <c r="Y17" s="210" t="s">
        <v>11</v>
      </c>
      <c r="Z17" s="210" t="s">
        <v>10</v>
      </c>
      <c r="AA17" s="211" t="s">
        <v>14</v>
      </c>
      <c r="AB17" s="212" t="s">
        <v>15</v>
      </c>
      <c r="AC17" s="213" t="s">
        <v>8</v>
      </c>
      <c r="AD17" s="214" t="s">
        <v>9</v>
      </c>
      <c r="AE17" s="213" t="s">
        <v>234</v>
      </c>
      <c r="AF17" s="213" t="s">
        <v>56</v>
      </c>
      <c r="AG17" s="214" t="s">
        <v>57</v>
      </c>
      <c r="AH17" s="213" t="s">
        <v>58</v>
      </c>
      <c r="AI17" s="215" t="s">
        <v>77</v>
      </c>
      <c r="AJ17" s="216" t="s">
        <v>204</v>
      </c>
      <c r="AK17" s="216" t="s">
        <v>16</v>
      </c>
      <c r="AL17" s="215" t="s">
        <v>12</v>
      </c>
      <c r="AM17" s="215" t="s">
        <v>44</v>
      </c>
      <c r="AN17" s="216" t="s">
        <v>55</v>
      </c>
      <c r="AO17" s="210" t="s">
        <v>17</v>
      </c>
      <c r="AP17" s="210" t="s">
        <v>80</v>
      </c>
      <c r="AQ17" s="210" t="s">
        <v>81</v>
      </c>
      <c r="AR17" s="210" t="s">
        <v>82</v>
      </c>
      <c r="AS17" s="210" t="s">
        <v>83</v>
      </c>
      <c r="AT17" s="210" t="s">
        <v>45</v>
      </c>
      <c r="AU17" s="210" t="s">
        <v>43</v>
      </c>
      <c r="AV17" s="210" t="s">
        <v>13</v>
      </c>
      <c r="AW17" s="210" t="s">
        <v>0</v>
      </c>
      <c r="AX17" s="210" t="s">
        <v>11</v>
      </c>
      <c r="AY17" s="210" t="s">
        <v>10</v>
      </c>
      <c r="AZ17" s="89"/>
    </row>
    <row r="18" spans="1:52" ht="21" x14ac:dyDescent="0.35">
      <c r="A18" s="89"/>
      <c r="B18" s="217">
        <f>100-C18-D18-E18-F18-G18-H18-I18-J18-K18-L18-M18-N18-O18-P18-Q18-R18-S18-T18-U18-V18-W18-X18-Y18-Z18</f>
        <v>100</v>
      </c>
      <c r="C18" s="218">
        <f>C7</f>
        <v>-1.3390140731654472</v>
      </c>
      <c r="D18" s="218">
        <f t="shared" ref="D18:Z18" si="3">D4</f>
        <v>1.3390140731654472</v>
      </c>
      <c r="E18" s="218">
        <f t="shared" si="3"/>
        <v>0</v>
      </c>
      <c r="F18" s="218">
        <f t="shared" si="3"/>
        <v>0</v>
      </c>
      <c r="G18" s="218">
        <f>G7</f>
        <v>-2.2135726422297549E-2</v>
      </c>
      <c r="H18" s="218">
        <f t="shared" si="3"/>
        <v>8.8718546811123438E-3</v>
      </c>
      <c r="I18" s="218">
        <f t="shared" si="3"/>
        <v>1.7139854382745025E-3</v>
      </c>
      <c r="J18" s="218">
        <f t="shared" si="3"/>
        <v>3.9237609914021089E-3</v>
      </c>
      <c r="K18" s="218">
        <f t="shared" si="3"/>
        <v>7.6261253115085933E-3</v>
      </c>
      <c r="L18" s="218">
        <f>L7</f>
        <v>0</v>
      </c>
      <c r="M18" s="218">
        <f>M7</f>
        <v>-5.6100920468972061E-2</v>
      </c>
      <c r="N18" s="218">
        <f>N7</f>
        <v>-0.10882959025400381</v>
      </c>
      <c r="O18" s="218">
        <f t="shared" si="3"/>
        <v>0.10882959025400381</v>
      </c>
      <c r="P18" s="218">
        <f t="shared" si="3"/>
        <v>0</v>
      </c>
      <c r="Q18" s="218">
        <f t="shared" si="3"/>
        <v>5.6100920468972061E-2</v>
      </c>
      <c r="R18" s="218">
        <f t="shared" si="3"/>
        <v>0</v>
      </c>
      <c r="S18" s="218">
        <f t="shared" si="3"/>
        <v>0</v>
      </c>
      <c r="T18" s="218">
        <f t="shared" si="3"/>
        <v>0</v>
      </c>
      <c r="U18" s="218">
        <f t="shared" si="3"/>
        <v>0</v>
      </c>
      <c r="V18" s="218">
        <f t="shared" si="3"/>
        <v>0</v>
      </c>
      <c r="W18" s="218">
        <f t="shared" si="3"/>
        <v>0</v>
      </c>
      <c r="X18" s="218">
        <f t="shared" si="3"/>
        <v>0</v>
      </c>
      <c r="Y18" s="218">
        <f t="shared" si="3"/>
        <v>0</v>
      </c>
      <c r="Z18" s="218">
        <f t="shared" si="3"/>
        <v>0</v>
      </c>
      <c r="AA18" s="219">
        <v>55.84</v>
      </c>
      <c r="AB18" s="219">
        <v>28.0855</v>
      </c>
      <c r="AC18" s="219">
        <v>58.693399999999997</v>
      </c>
      <c r="AD18" s="219">
        <v>63.545999999999999</v>
      </c>
      <c r="AE18" s="219">
        <v>65.38</v>
      </c>
      <c r="AF18" s="219">
        <v>12.01</v>
      </c>
      <c r="AG18" s="219">
        <v>30.973762000000001</v>
      </c>
      <c r="AH18" s="219">
        <v>32.064999999999998</v>
      </c>
      <c r="AI18" s="219">
        <v>14.0067</v>
      </c>
      <c r="AJ18" s="219">
        <v>10.81</v>
      </c>
      <c r="AK18" s="219">
        <v>54.938043999999998</v>
      </c>
      <c r="AL18" s="219">
        <v>26.981539999999999</v>
      </c>
      <c r="AM18" s="219">
        <v>51.996099999999998</v>
      </c>
      <c r="AN18" s="219">
        <v>95.95</v>
      </c>
      <c r="AO18" s="220">
        <v>47.866999999999997</v>
      </c>
      <c r="AP18" s="220">
        <v>50.941499999999998</v>
      </c>
      <c r="AQ18" s="220">
        <v>92.906369999999995</v>
      </c>
      <c r="AR18" s="220">
        <v>183.84</v>
      </c>
      <c r="AS18" s="220">
        <v>180.94788</v>
      </c>
      <c r="AT18" s="220">
        <v>91.224000000000004</v>
      </c>
      <c r="AU18" s="220">
        <v>58.933194999999998</v>
      </c>
      <c r="AV18" s="220">
        <v>24.305</v>
      </c>
      <c r="AW18" s="219">
        <v>121.76</v>
      </c>
      <c r="AX18" s="219">
        <v>207.2</v>
      </c>
      <c r="AY18" s="219">
        <v>118.71</v>
      </c>
      <c r="AZ18" s="89"/>
    </row>
    <row r="19" spans="1:52" ht="21" x14ac:dyDescent="0.35">
      <c r="A19" s="89"/>
      <c r="B19" s="217">
        <f>100*((((B18)*(AA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99.159816415528454</v>
      </c>
      <c r="C19" s="217">
        <f>100*((((C18)*(AB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-0.66781720848103243</v>
      </c>
      <c r="D19" s="217">
        <f>100*((((D18)*(AC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1.3956120611796345</v>
      </c>
      <c r="E19" s="217">
        <f>100*((((E18)*(AD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F19" s="217">
        <f>100*((((F18)*(AE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G19" s="217">
        <f>100*((((G18)*(AF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-4.720924886245567E-3</v>
      </c>
      <c r="H19" s="217">
        <f>100*((((H18)*(AG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4.879762451677044E-3</v>
      </c>
      <c r="I19" s="217">
        <f>100*((((I18)*(AH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9.7595249033540865E-4</v>
      </c>
      <c r="J19" s="217">
        <f>100*((((J18)*(AI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9.7595249033540865E-4</v>
      </c>
      <c r="K19" s="217">
        <f>100*((((K18)*(AJ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1.4639287355031135E-3</v>
      </c>
      <c r="L19" s="217">
        <f>100*((((L18)*(AK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M19" s="217">
        <f>100*((((M18)*(AL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-2.6879861411940972E-2</v>
      </c>
      <c r="N19" s="217">
        <f>100*((((N18)*(AM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-0.10048658075787908</v>
      </c>
      <c r="O19" s="217">
        <f>100*((((O18)*(AN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0.18543097316372764</v>
      </c>
      <c r="P19" s="217">
        <f>100*((((P18)*(AO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Q19" s="217">
        <f>100*((((Q18)*(AP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5.0749529497441256E-2</v>
      </c>
      <c r="R19" s="217">
        <f>100*((((R18)*(AQ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S19" s="217">
        <f>100*((((S18)*(AR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T19" s="217">
        <f>100*((((T18)*(AS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U19" s="217">
        <f>100*((((U18)*(AT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V19" s="217">
        <f>100*((((V18)*(AU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W19" s="217">
        <f>100*((((W18)*(AV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X19" s="219">
        <f>100*((((X18)*(AW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Y19" s="219">
        <f>100*((((Y18)*(AX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Z19" s="219">
        <f>100*((((Z18)*(AY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89"/>
    </row>
    <row r="20" spans="1:52" ht="21" x14ac:dyDescent="0.35">
      <c r="A20" s="89"/>
      <c r="B20" s="89"/>
      <c r="C20" s="89"/>
      <c r="D20" s="89"/>
      <c r="E20" s="89" t="e">
        <f>E19/'opt 12'!G6</f>
        <v>#DIV/0!</v>
      </c>
      <c r="F20" s="89" t="e">
        <f>F19/'opt 12'!G6</f>
        <v>#DIV/0!</v>
      </c>
      <c r="G20" s="89" t="e">
        <f>G19/'opt 12'!G6</f>
        <v>#DIV/0!</v>
      </c>
      <c r="H20" s="89" t="e">
        <f>H19/'opt 12'!G6</f>
        <v>#DIV/0!</v>
      </c>
      <c r="I20" s="89" t="e">
        <f>I19/'opt 12'!G6</f>
        <v>#DIV/0!</v>
      </c>
      <c r="J20" s="89"/>
      <c r="K20" s="89"/>
      <c r="L20" s="89" t="e">
        <f>L19/'opt 12'!G6</f>
        <v>#DIV/0!</v>
      </c>
      <c r="M20" s="89" t="e">
        <f>M19/'opt 12'!G6</f>
        <v>#DIV/0!</v>
      </c>
      <c r="N20" s="89" t="e">
        <f>N19/'opt 12'!G6</f>
        <v>#DIV/0!</v>
      </c>
      <c r="O20" s="89" t="e">
        <f>O19/'opt 12'!G6</f>
        <v>#DIV/0!</v>
      </c>
      <c r="P20" s="89" t="e">
        <f>P19/'opt 12'!G6</f>
        <v>#DIV/0!</v>
      </c>
      <c r="Q20" s="89" t="e">
        <f>Q19/'opt 12'!G6</f>
        <v>#DIV/0!</v>
      </c>
      <c r="R20" s="89" t="e">
        <f>R19/'opt 12'!G6</f>
        <v>#DIV/0!</v>
      </c>
      <c r="S20" s="89" t="e">
        <f>S19/'opt 12'!G6</f>
        <v>#DIV/0!</v>
      </c>
      <c r="T20" s="89" t="e">
        <f>T19/'opt 12'!G6</f>
        <v>#DIV/0!</v>
      </c>
      <c r="U20" s="89" t="e">
        <f>U19/'opt 12'!G6</f>
        <v>#DIV/0!</v>
      </c>
      <c r="V20" s="89" t="e">
        <f>V19/'opt 12'!G6</f>
        <v>#DIV/0!</v>
      </c>
      <c r="W20" s="89" t="e">
        <f>W19/'opt 12'!G6</f>
        <v>#DIV/0!</v>
      </c>
      <c r="X20" s="89" t="e">
        <f>X19/'opt 12'!G6</f>
        <v>#DIV/0!</v>
      </c>
      <c r="Y20" s="89" t="e">
        <f>Y19/'opt 12'!G6</f>
        <v>#DIV/0!</v>
      </c>
      <c r="Z20" s="89" t="e">
        <f>Z19/'opt 12'!G6</f>
        <v>#DIV/0!</v>
      </c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</row>
    <row r="21" spans="1:52" ht="21" x14ac:dyDescent="0.3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</row>
    <row r="22" spans="1:52" ht="21" x14ac:dyDescent="0.3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</row>
    <row r="23" spans="1:52" ht="21" x14ac:dyDescent="0.3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</row>
    <row r="24" spans="1:52" ht="21" x14ac:dyDescent="0.3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</row>
  </sheetData>
  <pageMargins left="0.7" right="0.7" top="0.75" bottom="0.75" header="0.3" footer="0.3"/>
  <pageSetup paperSize="9" orientation="portrait" verticalDpi="597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B775-E906-4709-A10F-BBEBA76C3716}">
  <dimension ref="A1:AX4"/>
  <sheetViews>
    <sheetView workbookViewId="0">
      <selection activeCell="V13" sqref="V13"/>
    </sheetView>
  </sheetViews>
  <sheetFormatPr baseColWidth="10" defaultRowHeight="15" x14ac:dyDescent="0.25"/>
  <cols>
    <col min="2" max="2" width="14.42578125" customWidth="1"/>
    <col min="3" max="3" width="16.28515625" customWidth="1"/>
  </cols>
  <sheetData>
    <row r="1" spans="1:50" ht="18" x14ac:dyDescent="0.25">
      <c r="A1" s="210" t="s">
        <v>14</v>
      </c>
      <c r="B1" s="210" t="s">
        <v>15</v>
      </c>
      <c r="C1" s="210" t="s">
        <v>8</v>
      </c>
      <c r="D1" s="210" t="s">
        <v>9</v>
      </c>
      <c r="E1" s="210" t="s">
        <v>234</v>
      </c>
      <c r="F1" s="210" t="s">
        <v>56</v>
      </c>
      <c r="G1" s="210" t="s">
        <v>57</v>
      </c>
      <c r="H1" s="210" t="s">
        <v>58</v>
      </c>
      <c r="I1" s="210" t="s">
        <v>77</v>
      </c>
      <c r="J1" s="210" t="s">
        <v>204</v>
      </c>
      <c r="K1" s="210" t="s">
        <v>16</v>
      </c>
      <c r="L1" s="210" t="s">
        <v>12</v>
      </c>
      <c r="M1" s="210" t="s">
        <v>44</v>
      </c>
      <c r="N1" s="210" t="s">
        <v>55</v>
      </c>
      <c r="O1" s="210" t="s">
        <v>17</v>
      </c>
      <c r="P1" s="210" t="s">
        <v>80</v>
      </c>
      <c r="Q1" s="210" t="s">
        <v>81</v>
      </c>
      <c r="R1" s="210" t="s">
        <v>82</v>
      </c>
      <c r="S1" s="210" t="s">
        <v>83</v>
      </c>
      <c r="T1" s="210" t="s">
        <v>45</v>
      </c>
      <c r="U1" s="210" t="s">
        <v>43</v>
      </c>
      <c r="V1" s="210" t="s">
        <v>13</v>
      </c>
      <c r="W1" s="210" t="s">
        <v>0</v>
      </c>
      <c r="X1" s="210" t="s">
        <v>11</v>
      </c>
      <c r="Y1" s="210" t="s">
        <v>10</v>
      </c>
      <c r="Z1" s="210" t="s">
        <v>14</v>
      </c>
      <c r="AA1" s="210" t="s">
        <v>15</v>
      </c>
      <c r="AB1" s="210" t="s">
        <v>8</v>
      </c>
      <c r="AC1" s="210" t="s">
        <v>9</v>
      </c>
      <c r="AD1" s="210" t="s">
        <v>234</v>
      </c>
      <c r="AE1" s="210" t="s">
        <v>56</v>
      </c>
      <c r="AF1" s="210" t="s">
        <v>57</v>
      </c>
      <c r="AG1" s="210" t="s">
        <v>58</v>
      </c>
      <c r="AH1" s="210" t="s">
        <v>77</v>
      </c>
      <c r="AI1" s="210" t="s">
        <v>204</v>
      </c>
      <c r="AJ1" s="210" t="s">
        <v>16</v>
      </c>
      <c r="AK1" s="210" t="s">
        <v>12</v>
      </c>
      <c r="AL1" s="210" t="s">
        <v>44</v>
      </c>
      <c r="AM1" s="210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13</v>
      </c>
      <c r="AV1" s="210" t="s">
        <v>0</v>
      </c>
      <c r="AW1" s="210" t="s">
        <v>11</v>
      </c>
      <c r="AX1" s="210" t="s">
        <v>10</v>
      </c>
    </row>
    <row r="2" spans="1:50" ht="23.25" x14ac:dyDescent="0.35">
      <c r="A2" s="36">
        <f>100-B2-C2-D2-E2-F2-G2-H2-I2-J2-K2-L2-M2-N2-O2-P2-Q2-R2-S2-T2-U2-V2-W2-X2-Y2</f>
        <v>100</v>
      </c>
      <c r="B2" s="71">
        <f>'1.0330_3'!C15</f>
        <v>0</v>
      </c>
      <c r="C2" s="71">
        <f>'1.0330_3'!D15</f>
        <v>0</v>
      </c>
      <c r="D2" s="71">
        <f>'1.0330_3'!E15</f>
        <v>0</v>
      </c>
      <c r="E2" s="71">
        <f>'1.0330_3'!F15</f>
        <v>0</v>
      </c>
      <c r="F2" s="71">
        <f>'1.0330_3'!G15</f>
        <v>0</v>
      </c>
      <c r="G2" s="71">
        <f>'1.0330_3'!H15</f>
        <v>0</v>
      </c>
      <c r="H2" s="71">
        <f>'1.0330_3'!I15</f>
        <v>0</v>
      </c>
      <c r="I2" s="71">
        <f>'1.0330_3'!J15</f>
        <v>0</v>
      </c>
      <c r="J2" s="71">
        <f>'1.0330_3'!K15</f>
        <v>0</v>
      </c>
      <c r="K2" s="71">
        <f>'1.0330_3'!L15</f>
        <v>0</v>
      </c>
      <c r="L2" s="71">
        <f>'1.0330_3'!M15</f>
        <v>0</v>
      </c>
      <c r="M2" s="71">
        <f>'1.0330_3'!N15</f>
        <v>0</v>
      </c>
      <c r="N2" s="71">
        <f>'1.0330_3'!O15</f>
        <v>0</v>
      </c>
      <c r="O2" s="71">
        <f>'1.0330_3'!P15</f>
        <v>0</v>
      </c>
      <c r="P2" s="71">
        <f>'1.0330_3'!Q15</f>
        <v>0</v>
      </c>
      <c r="Q2" s="71">
        <f>'1.0330_3'!R15</f>
        <v>0</v>
      </c>
      <c r="R2" s="71">
        <f>'1.0330_3'!S15</f>
        <v>0</v>
      </c>
      <c r="S2" s="71">
        <f>'1.0330_3'!T15</f>
        <v>0</v>
      </c>
      <c r="T2" s="71">
        <f>'1.0330_3'!U15</f>
        <v>0</v>
      </c>
      <c r="U2" s="71">
        <f>'1.0330_3'!V15</f>
        <v>0</v>
      </c>
      <c r="V2" s="71">
        <f>'1.0330_3'!W15</f>
        <v>0</v>
      </c>
      <c r="W2" s="71">
        <f>'1.0330_3'!X15</f>
        <v>0</v>
      </c>
      <c r="X2" s="71">
        <f>'1.0330_3'!Y15</f>
        <v>0</v>
      </c>
      <c r="Y2" s="71">
        <f>'1.0330_3'!Z15</f>
        <v>0</v>
      </c>
      <c r="Z2" s="68">
        <v>55.84</v>
      </c>
      <c r="AA2" s="7">
        <v>28.0855</v>
      </c>
      <c r="AB2" s="7">
        <v>58.693399999999997</v>
      </c>
      <c r="AC2" s="7">
        <v>63.545999999999999</v>
      </c>
      <c r="AD2" s="7">
        <v>65.38</v>
      </c>
      <c r="AE2" s="7">
        <v>12.01</v>
      </c>
      <c r="AF2" s="7">
        <v>30.973762000000001</v>
      </c>
      <c r="AG2" s="7">
        <v>32.064999999999998</v>
      </c>
      <c r="AH2" s="7">
        <v>14.0067</v>
      </c>
      <c r="AI2" s="7">
        <v>10.81</v>
      </c>
      <c r="AJ2" s="7">
        <v>54.938043999999998</v>
      </c>
      <c r="AK2" s="7">
        <v>26.981539999999999</v>
      </c>
      <c r="AL2" s="7">
        <v>51.996099999999998</v>
      </c>
      <c r="AM2" s="7">
        <v>95.95</v>
      </c>
      <c r="AN2">
        <v>47.866999999999997</v>
      </c>
      <c r="AO2">
        <v>50.941499999999998</v>
      </c>
      <c r="AP2">
        <v>92.906369999999995</v>
      </c>
      <c r="AQ2">
        <v>183.84</v>
      </c>
      <c r="AR2">
        <v>180.94788</v>
      </c>
      <c r="AS2">
        <v>91.224000000000004</v>
      </c>
      <c r="AT2">
        <v>58.933194999999998</v>
      </c>
      <c r="AU2">
        <v>24.305</v>
      </c>
      <c r="AV2" s="7">
        <v>121.76</v>
      </c>
      <c r="AW2" s="7">
        <v>207.2</v>
      </c>
      <c r="AX2" s="7">
        <v>118.71</v>
      </c>
    </row>
    <row r="3" spans="1:50" ht="18.75" x14ac:dyDescent="0.3">
      <c r="A3" s="36">
        <f>100*((((A2)*(Z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100</v>
      </c>
      <c r="B3" s="36">
        <f>100*((((B2)*(AA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C3" s="36">
        <f>100*((((C2)*(AB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D3" s="36">
        <f>100*((((D2)*(AC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E3" s="36">
        <f>100*((((E2)*(AD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F3" s="36">
        <f>100*((((F2)*(AE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G3" s="36">
        <f>100*((((G2)*(AF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H3" s="36">
        <f>100*((((H2)*(AG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I3" s="36">
        <f>100*((((I2)*(AH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J3" s="36">
        <f>100*((((J2)*(AI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K3" s="36">
        <f>100*((((K2)*(AJ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L3" s="36">
        <f>100*((((L2)*(AK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M3" s="36">
        <f>100*((((M2)*(AL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N3" s="36">
        <f>100*((((N2)*(AM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W2))+((X2)/(AW2))+((Y2)/(AX2)))))</f>
        <v>0</v>
      </c>
      <c r="P3" s="36">
        <f>100*((((P2)*(AO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Q3" s="36">
        <f>100*((((Q2)*(AP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R3" s="36">
        <f>100*((((R2)*(AQ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S3" s="36">
        <f>100*((((S2)*(AR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T3" s="36">
        <f>100*((((T2)*(AS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U3" s="36">
        <f>100*((((U2)*(AT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V3" s="36">
        <f>100*((((V2)*(AU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W3" s="7">
        <f>100*((((W2)*(AV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X3" s="7">
        <f>100*((((X2)*(AW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Y3" s="7">
        <f>100*((((Y2)*(AX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Z3" s="68">
        <v>55.84</v>
      </c>
      <c r="AA3" s="7">
        <v>95.94</v>
      </c>
      <c r="AB3" s="7">
        <v>183.85</v>
      </c>
      <c r="AC3" s="7">
        <v>58.933199999999999</v>
      </c>
      <c r="AD3" s="7">
        <v>63.54</v>
      </c>
      <c r="AE3" s="7">
        <v>12.01</v>
      </c>
      <c r="AF3" s="7">
        <v>28.085000000000001</v>
      </c>
      <c r="AG3" s="7">
        <v>47.88</v>
      </c>
      <c r="AH3" s="7">
        <v>58.692999999999998</v>
      </c>
      <c r="AI3" s="7">
        <v>51.99</v>
      </c>
      <c r="AJ3" s="7">
        <v>54.93</v>
      </c>
      <c r="AK3" s="7">
        <v>92.9</v>
      </c>
      <c r="AL3" s="7">
        <v>14.0067</v>
      </c>
      <c r="AM3" s="7">
        <v>26.981539999999999</v>
      </c>
    </row>
    <row r="4" spans="1:50" ht="15.75" x14ac:dyDescent="0.25">
      <c r="A4" s="8"/>
      <c r="B4" s="9"/>
    </row>
  </sheetData>
  <pageMargins left="0.7" right="0.7" top="0.78740157499999996" bottom="0.78740157499999996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F8138-9AFC-4855-BAD6-56EEC0E491F7}">
  <dimension ref="A1:BA23"/>
  <sheetViews>
    <sheetView zoomScale="124" zoomScaleNormal="124" workbookViewId="0">
      <selection activeCell="C5" sqref="C5:R7"/>
    </sheetView>
  </sheetViews>
  <sheetFormatPr baseColWidth="10" defaultColWidth="8.7109375" defaultRowHeight="15" x14ac:dyDescent="0.25"/>
  <cols>
    <col min="1" max="1" width="24.42578125" customWidth="1"/>
    <col min="2" max="2" width="17.7109375" customWidth="1"/>
    <col min="3" max="3" width="13.5703125" customWidth="1"/>
    <col min="4" max="4" width="8.28515625" customWidth="1"/>
    <col min="5" max="5" width="10.28515625" customWidth="1"/>
    <col min="6" max="6" width="9.140625" customWidth="1"/>
    <col min="7" max="7" width="8.7109375" customWidth="1"/>
    <col min="8" max="8" width="10.140625" customWidth="1"/>
    <col min="9" max="9" width="9.42578125" customWidth="1"/>
    <col min="10" max="11" width="12.7109375" customWidth="1"/>
    <col min="12" max="12" width="8.7109375" customWidth="1"/>
    <col min="13" max="13" width="10.42578125" customWidth="1"/>
    <col min="14" max="14" width="8.140625" customWidth="1"/>
    <col min="15" max="15" width="10.7109375" customWidth="1"/>
    <col min="16" max="23" width="12.85546875" bestFit="1" customWidth="1"/>
    <col min="24" max="24" width="11.85546875" bestFit="1" customWidth="1"/>
    <col min="25" max="26" width="12.85546875" bestFit="1" customWidth="1"/>
  </cols>
  <sheetData>
    <row r="1" spans="1:53" ht="21" x14ac:dyDescent="0.35">
      <c r="A1" s="89" t="s">
        <v>34</v>
      </c>
      <c r="B1" s="89"/>
      <c r="C1" s="89" t="e">
        <f>C5-C2</f>
        <v>#DIV/0!</v>
      </c>
      <c r="D1" s="89" t="e">
        <f>D4-D2</f>
        <v>#DIV/0!</v>
      </c>
      <c r="E1" s="89">
        <f>E2-E5</f>
        <v>0</v>
      </c>
      <c r="F1" s="89" t="e">
        <f>F4-F2</f>
        <v>#DIV/0!</v>
      </c>
      <c r="G1" s="89" t="e">
        <f t="shared" ref="G1:O1" si="0">G4-G2</f>
        <v>#DIV/0!</v>
      </c>
      <c r="H1" s="89" t="e">
        <f t="shared" si="0"/>
        <v>#DIV/0!</v>
      </c>
      <c r="I1" s="89" t="e">
        <f>I4-I2</f>
        <v>#DIV/0!</v>
      </c>
      <c r="J1" s="89">
        <f>J5-J2</f>
        <v>0</v>
      </c>
      <c r="K1" s="89">
        <f>K5-K2</f>
        <v>0</v>
      </c>
      <c r="L1" s="89" t="e">
        <f t="shared" si="0"/>
        <v>#DIV/0!</v>
      </c>
      <c r="M1" s="89" t="e">
        <f t="shared" si="0"/>
        <v>#DIV/0!</v>
      </c>
      <c r="N1" s="89" t="e">
        <f t="shared" si="0"/>
        <v>#DIV/0!</v>
      </c>
      <c r="O1" s="89" t="e">
        <f t="shared" si="0"/>
        <v>#DIV/0!</v>
      </c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</row>
    <row r="2" spans="1:53" ht="21" x14ac:dyDescent="0.35">
      <c r="A2" s="89" t="s">
        <v>37</v>
      </c>
      <c r="B2" s="138">
        <f>100-C2-D2-E2-F2-G2-H2-I2-J2-K2-L2-M2-N2-O2</f>
        <v>100</v>
      </c>
      <c r="C2" s="89">
        <f>'1.0330_3'!C16</f>
        <v>0</v>
      </c>
      <c r="D2" s="89">
        <f>'1.0330_3'!D16</f>
        <v>0</v>
      </c>
      <c r="E2" s="89">
        <f>'1.0330_3'!E16</f>
        <v>0</v>
      </c>
      <c r="F2" s="89">
        <f>'1.0330_3'!F16</f>
        <v>0</v>
      </c>
      <c r="G2" s="89">
        <f>'1.0330_3'!G16</f>
        <v>0</v>
      </c>
      <c r="H2" s="89">
        <f>'1.0330_3'!H16</f>
        <v>0</v>
      </c>
      <c r="I2" s="89">
        <f>'1.0330_3'!I16</f>
        <v>0</v>
      </c>
      <c r="J2" s="89">
        <f>'1.0330_3'!J16</f>
        <v>0</v>
      </c>
      <c r="K2" s="89">
        <f>'1.0330_3'!K16</f>
        <v>0</v>
      </c>
      <c r="L2" s="89">
        <f>'1.0330_3'!L16</f>
        <v>0</v>
      </c>
      <c r="M2" s="89">
        <f>'1.0330_3'!M16</f>
        <v>0</v>
      </c>
      <c r="N2" s="89">
        <f>'1.0330_3'!N16</f>
        <v>0</v>
      </c>
      <c r="O2" s="89">
        <f>'1.0330_3'!O16</f>
        <v>0</v>
      </c>
      <c r="P2" s="89">
        <f>'1.0330_3'!P16</f>
        <v>0</v>
      </c>
      <c r="Q2" s="89">
        <f>'1.0330_3'!Q16</f>
        <v>0</v>
      </c>
      <c r="R2" s="89">
        <f>'1.0330_3'!R16</f>
        <v>0</v>
      </c>
      <c r="S2" s="89">
        <f>'1.0330_3'!S16</f>
        <v>0</v>
      </c>
      <c r="T2" s="89">
        <f>'1.0330_3'!T16</f>
        <v>0</v>
      </c>
      <c r="U2" s="89">
        <f>'1.0330_3'!U16</f>
        <v>0</v>
      </c>
      <c r="V2" s="89">
        <f>'1.0330_3'!V16</f>
        <v>0</v>
      </c>
      <c r="W2" s="89">
        <f>'1.0330_3'!W16</f>
        <v>0</v>
      </c>
      <c r="X2" s="89">
        <f>'1.0330_3'!X16</f>
        <v>0</v>
      </c>
      <c r="Y2" s="89">
        <f>'1.0330_3'!Y16</f>
        <v>0</v>
      </c>
      <c r="Z2" s="89">
        <f>'1.0330_3'!Z16</f>
        <v>0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</row>
    <row r="3" spans="1:53" ht="21" x14ac:dyDescent="0.35">
      <c r="A3" s="89"/>
      <c r="B3" s="210" t="s">
        <v>14</v>
      </c>
      <c r="C3" s="210" t="s">
        <v>15</v>
      </c>
      <c r="D3" s="210" t="s">
        <v>8</v>
      </c>
      <c r="E3" s="210" t="s">
        <v>9</v>
      </c>
      <c r="F3" s="210" t="s">
        <v>234</v>
      </c>
      <c r="G3" s="210" t="s">
        <v>56</v>
      </c>
      <c r="H3" s="210" t="s">
        <v>57</v>
      </c>
      <c r="I3" s="210" t="s">
        <v>58</v>
      </c>
      <c r="J3" s="210" t="s">
        <v>77</v>
      </c>
      <c r="K3" s="210" t="s">
        <v>204</v>
      </c>
      <c r="L3" s="210" t="s">
        <v>16</v>
      </c>
      <c r="M3" s="210" t="s">
        <v>12</v>
      </c>
      <c r="N3" s="210" t="s">
        <v>44</v>
      </c>
      <c r="O3" s="210" t="s">
        <v>55</v>
      </c>
      <c r="P3" s="210" t="s">
        <v>17</v>
      </c>
      <c r="Q3" s="210" t="s">
        <v>80</v>
      </c>
      <c r="R3" s="210" t="s">
        <v>81</v>
      </c>
      <c r="S3" s="210" t="s">
        <v>82</v>
      </c>
      <c r="T3" s="210" t="s">
        <v>83</v>
      </c>
      <c r="U3" s="210" t="s">
        <v>45</v>
      </c>
      <c r="V3" s="210" t="s">
        <v>43</v>
      </c>
      <c r="W3" s="210" t="s">
        <v>13</v>
      </c>
      <c r="X3" s="210" t="s">
        <v>0</v>
      </c>
      <c r="Y3" s="210" t="s">
        <v>11</v>
      </c>
      <c r="Z3" s="210" t="s">
        <v>10</v>
      </c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</row>
    <row r="4" spans="1:53" ht="21" x14ac:dyDescent="0.35">
      <c r="A4" s="89" t="s">
        <v>35</v>
      </c>
      <c r="B4" s="89" t="e">
        <f>100-C4-D4-E4-F4-G4-H4-I4-J4-K4-L4-M4-N4-O4-P4-Q4-R4-S4-T4-U4-V4-W4-X4-Y4-Z4</f>
        <v>#DIV/0!</v>
      </c>
      <c r="C4" s="89" t="e">
        <f>'opt 13'!C56</f>
        <v>#DIV/0!</v>
      </c>
      <c r="D4" s="89" t="e">
        <f>'opt 13'!D56</f>
        <v>#DIV/0!</v>
      </c>
      <c r="E4" s="89" t="e">
        <f>'opt 13'!E56</f>
        <v>#DIV/0!</v>
      </c>
      <c r="F4" s="89" t="e">
        <f>'opt 13'!F56</f>
        <v>#DIV/0!</v>
      </c>
      <c r="G4" s="89" t="e">
        <f>'opt 13'!G56</f>
        <v>#DIV/0!</v>
      </c>
      <c r="H4" s="89" t="e">
        <f>'opt 13'!H56</f>
        <v>#DIV/0!</v>
      </c>
      <c r="I4" s="89" t="e">
        <f>'opt 13'!I56</f>
        <v>#DIV/0!</v>
      </c>
      <c r="J4" s="89" t="e">
        <f>'opt 13'!J56</f>
        <v>#DIV/0!</v>
      </c>
      <c r="K4" s="89" t="e">
        <f>'opt 13'!K56</f>
        <v>#DIV/0!</v>
      </c>
      <c r="L4" s="89" t="e">
        <f>'opt 13'!L56</f>
        <v>#DIV/0!</v>
      </c>
      <c r="M4" s="89" t="e">
        <f>'opt 13'!M56</f>
        <v>#DIV/0!</v>
      </c>
      <c r="N4" s="89" t="e">
        <f>'opt 13'!N56</f>
        <v>#DIV/0!</v>
      </c>
      <c r="O4" s="89" t="e">
        <f>'opt 13'!O56</f>
        <v>#DIV/0!</v>
      </c>
      <c r="P4" s="89" t="e">
        <f>'opt 13'!P56</f>
        <v>#DIV/0!</v>
      </c>
      <c r="Q4" s="89" t="e">
        <f>'opt 13'!Q56</f>
        <v>#DIV/0!</v>
      </c>
      <c r="R4" s="89" t="e">
        <f>'opt 13'!R56</f>
        <v>#DIV/0!</v>
      </c>
      <c r="S4" s="89" t="e">
        <f>'opt 13'!S56</f>
        <v>#DIV/0!</v>
      </c>
      <c r="T4" s="89" t="e">
        <f>'opt 13'!T56</f>
        <v>#DIV/0!</v>
      </c>
      <c r="U4" s="89" t="e">
        <f>'opt 13'!U56</f>
        <v>#DIV/0!</v>
      </c>
      <c r="V4" s="89" t="e">
        <f>'opt 13'!V56</f>
        <v>#DIV/0!</v>
      </c>
      <c r="W4" s="89" t="e">
        <f>'opt 13'!W56</f>
        <v>#DIV/0!</v>
      </c>
      <c r="X4" s="89" t="e">
        <f>'opt 13'!X56</f>
        <v>#DIV/0!</v>
      </c>
      <c r="Y4" s="89" t="e">
        <f>'opt 13'!Y56</f>
        <v>#DIV/0!</v>
      </c>
      <c r="Z4" s="89" t="e">
        <f>'opt 13'!Z56</f>
        <v>#DIV/0!</v>
      </c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</row>
    <row r="5" spans="1:53" ht="21" x14ac:dyDescent="0.35">
      <c r="A5" s="89" t="s">
        <v>36</v>
      </c>
      <c r="B5" s="89" t="e">
        <f>100-C5-D5-E5-F5-G5-H5-I5-J5-K5-L5-M5-N5-O5</f>
        <v>#DIV/0!</v>
      </c>
      <c r="C5" s="149" t="e">
        <f>C4</f>
        <v>#DIV/0!</v>
      </c>
      <c r="D5" s="158"/>
      <c r="E5" s="159"/>
      <c r="F5" s="159"/>
      <c r="G5" s="159" t="e">
        <f>G4+D4+E4+F4+H4+I4+J4+K4+M4+V4</f>
        <v>#DIV/0!</v>
      </c>
      <c r="H5" s="159"/>
      <c r="I5" s="159"/>
      <c r="J5" s="149"/>
      <c r="K5" s="149"/>
      <c r="L5" s="7" t="e">
        <f>L4</f>
        <v>#DIV/0!</v>
      </c>
      <c r="M5" s="7"/>
      <c r="N5" s="7" t="e">
        <f>N4+P4+Q4+R4+S4+T4+U4+W4+X4+Y4+Z4</f>
        <v>#DIV/0!</v>
      </c>
      <c r="O5" s="7" t="e">
        <f>O4</f>
        <v>#DIV/0!</v>
      </c>
      <c r="P5" s="7"/>
      <c r="Q5" s="7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</row>
    <row r="6" spans="1:53" ht="21" x14ac:dyDescent="0.35">
      <c r="A6" s="89"/>
      <c r="B6" s="8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</row>
    <row r="7" spans="1:53" ht="21" x14ac:dyDescent="0.35">
      <c r="A7" s="89" t="s">
        <v>92</v>
      </c>
      <c r="B7" s="139" t="e">
        <f>100-C7-D7-E7-F7-G7-H7-I7-J7-K7-L7-M7-N7-O7-P7-Q7-R7-S7-T7-U7-V7-W7-X7-Y7-Z7</f>
        <v>#DIV/0!</v>
      </c>
      <c r="C7" s="156">
        <f>C2</f>
        <v>0</v>
      </c>
      <c r="D7" s="156"/>
      <c r="E7" s="156"/>
      <c r="F7" s="156"/>
      <c r="G7" s="156" t="e">
        <f>G2-D4-E4-F4-H4-I4-J4-K4-M4-V4</f>
        <v>#DIV/0!</v>
      </c>
      <c r="H7" s="156"/>
      <c r="I7" s="156"/>
      <c r="J7" s="156"/>
      <c r="K7" s="156"/>
      <c r="L7" s="156">
        <f>L2</f>
        <v>0</v>
      </c>
      <c r="M7" s="156">
        <f>M2</f>
        <v>0</v>
      </c>
      <c r="N7" s="156" t="e">
        <f>N2-P4-Q4-R4-S4-T4-U4-W4-X4-Y4-Z4</f>
        <v>#DIV/0!</v>
      </c>
      <c r="O7" s="156"/>
      <c r="P7" s="156"/>
      <c r="Q7" s="156"/>
      <c r="R7" s="177"/>
      <c r="S7" s="177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</row>
    <row r="8" spans="1:53" ht="21" x14ac:dyDescent="0.35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</row>
    <row r="9" spans="1:53" ht="21" x14ac:dyDescent="0.35">
      <c r="A9" s="89"/>
      <c r="B9" s="89"/>
      <c r="C9" s="89"/>
      <c r="D9" s="89"/>
      <c r="E9" s="89"/>
      <c r="F9" s="89" t="s">
        <v>7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</row>
    <row r="10" spans="1:53" ht="21" x14ac:dyDescent="0.35">
      <c r="A10" s="89" t="s">
        <v>32</v>
      </c>
      <c r="B10" s="180"/>
      <c r="C10" s="180"/>
      <c r="D10" s="89"/>
      <c r="E10" s="180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</row>
    <row r="11" spans="1:53" ht="21" x14ac:dyDescent="0.35">
      <c r="A11" s="89" t="s">
        <v>33</v>
      </c>
      <c r="B11" s="181"/>
      <c r="C11" s="181"/>
      <c r="D11" s="89"/>
      <c r="E11" s="181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</row>
    <row r="12" spans="1:53" ht="21" x14ac:dyDescent="0.35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</row>
    <row r="13" spans="1:53" ht="21" x14ac:dyDescent="0.35">
      <c r="A13" s="89"/>
      <c r="B13" s="89" t="s">
        <v>14</v>
      </c>
      <c r="C13" s="180" t="s">
        <v>56</v>
      </c>
      <c r="D13" s="180" t="s">
        <v>15</v>
      </c>
      <c r="E13" s="181" t="s">
        <v>8</v>
      </c>
      <c r="F13" s="180" t="s">
        <v>9</v>
      </c>
      <c r="G13" s="180" t="s">
        <v>57</v>
      </c>
      <c r="H13" s="181" t="s">
        <v>58</v>
      </c>
      <c r="I13" s="180" t="s">
        <v>77</v>
      </c>
      <c r="J13" s="181" t="s">
        <v>13</v>
      </c>
      <c r="K13" s="180" t="s">
        <v>16</v>
      </c>
      <c r="L13" s="180" t="s">
        <v>55</v>
      </c>
      <c r="M13" s="181" t="s">
        <v>44</v>
      </c>
      <c r="N13" s="181" t="s">
        <v>10</v>
      </c>
      <c r="O13" s="180" t="s">
        <v>12</v>
      </c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</row>
    <row r="14" spans="1:53" ht="21" x14ac:dyDescent="0.35">
      <c r="A14" s="89" t="s">
        <v>39</v>
      </c>
      <c r="B14" s="89" t="e">
        <f>100-(C14+D14+E14+F14+G14+H14+I14+J14+K14+L14+M14+N14+O14)</f>
        <v>#DIV/0!</v>
      </c>
      <c r="C14" s="89" t="e">
        <f>C5-C1</f>
        <v>#DIV/0!</v>
      </c>
      <c r="D14" s="89" t="e">
        <f>D5-D1</f>
        <v>#DIV/0!</v>
      </c>
      <c r="E14" s="89">
        <f t="shared" ref="E14:I14" si="1">E5</f>
        <v>0</v>
      </c>
      <c r="F14" s="89">
        <f t="shared" si="1"/>
        <v>0</v>
      </c>
      <c r="G14" s="89" t="e">
        <f t="shared" si="1"/>
        <v>#DIV/0!</v>
      </c>
      <c r="H14" s="89">
        <f t="shared" si="1"/>
        <v>0</v>
      </c>
      <c r="I14" s="89">
        <f t="shared" si="1"/>
        <v>0</v>
      </c>
      <c r="J14" s="89">
        <f>J5-J1</f>
        <v>0</v>
      </c>
      <c r="K14" s="89">
        <f>K5-K1</f>
        <v>0</v>
      </c>
      <c r="L14" s="89" t="e">
        <f t="shared" ref="L14:O14" si="2">L5</f>
        <v>#DIV/0!</v>
      </c>
      <c r="M14" s="89">
        <f t="shared" si="2"/>
        <v>0</v>
      </c>
      <c r="N14" s="89" t="e">
        <f t="shared" si="2"/>
        <v>#DIV/0!</v>
      </c>
      <c r="O14" s="89" t="e">
        <f t="shared" si="2"/>
        <v>#DIV/0!</v>
      </c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</row>
    <row r="15" spans="1:53" ht="21" x14ac:dyDescent="0.3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</row>
    <row r="16" spans="1:53" ht="21" x14ac:dyDescent="0.3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</row>
    <row r="17" spans="1:53" ht="21" x14ac:dyDescent="0.35">
      <c r="A17" s="89"/>
      <c r="B17" s="210" t="s">
        <v>14</v>
      </c>
      <c r="C17" s="210" t="s">
        <v>15</v>
      </c>
      <c r="D17" s="210" t="s">
        <v>8</v>
      </c>
      <c r="E17" s="210" t="s">
        <v>9</v>
      </c>
      <c r="F17" s="210" t="s">
        <v>234</v>
      </c>
      <c r="G17" s="210" t="s">
        <v>56</v>
      </c>
      <c r="H17" s="210" t="s">
        <v>57</v>
      </c>
      <c r="I17" s="210" t="s">
        <v>58</v>
      </c>
      <c r="J17" s="210" t="s">
        <v>77</v>
      </c>
      <c r="K17" s="210" t="s">
        <v>204</v>
      </c>
      <c r="L17" s="210" t="s">
        <v>16</v>
      </c>
      <c r="M17" s="210" t="s">
        <v>12</v>
      </c>
      <c r="N17" s="210" t="s">
        <v>44</v>
      </c>
      <c r="O17" s="210" t="s">
        <v>55</v>
      </c>
      <c r="P17" s="210" t="s">
        <v>17</v>
      </c>
      <c r="Q17" s="210" t="s">
        <v>80</v>
      </c>
      <c r="R17" s="210" t="s">
        <v>81</v>
      </c>
      <c r="S17" s="210" t="s">
        <v>82</v>
      </c>
      <c r="T17" s="210" t="s">
        <v>83</v>
      </c>
      <c r="U17" s="210" t="s">
        <v>45</v>
      </c>
      <c r="V17" s="210" t="s">
        <v>43</v>
      </c>
      <c r="W17" s="210" t="s">
        <v>13</v>
      </c>
      <c r="X17" s="210" t="s">
        <v>0</v>
      </c>
      <c r="Y17" s="210" t="s">
        <v>11</v>
      </c>
      <c r="Z17" s="210" t="s">
        <v>10</v>
      </c>
      <c r="AA17" s="211" t="s">
        <v>14</v>
      </c>
      <c r="AB17" s="212" t="s">
        <v>15</v>
      </c>
      <c r="AC17" s="213" t="s">
        <v>8</v>
      </c>
      <c r="AD17" s="214" t="s">
        <v>9</v>
      </c>
      <c r="AE17" s="213" t="s">
        <v>234</v>
      </c>
      <c r="AF17" s="213" t="s">
        <v>56</v>
      </c>
      <c r="AG17" s="214" t="s">
        <v>57</v>
      </c>
      <c r="AH17" s="213" t="s">
        <v>58</v>
      </c>
      <c r="AI17" s="215" t="s">
        <v>77</v>
      </c>
      <c r="AJ17" s="216" t="s">
        <v>204</v>
      </c>
      <c r="AK17" s="216" t="s">
        <v>16</v>
      </c>
      <c r="AL17" s="215" t="s">
        <v>12</v>
      </c>
      <c r="AM17" s="215" t="s">
        <v>44</v>
      </c>
      <c r="AN17" s="216" t="s">
        <v>55</v>
      </c>
      <c r="AO17" s="210" t="s">
        <v>17</v>
      </c>
      <c r="AP17" s="210" t="s">
        <v>80</v>
      </c>
      <c r="AQ17" s="210" t="s">
        <v>81</v>
      </c>
      <c r="AR17" s="210" t="s">
        <v>82</v>
      </c>
      <c r="AS17" s="210" t="s">
        <v>83</v>
      </c>
      <c r="AT17" s="210" t="s">
        <v>45</v>
      </c>
      <c r="AU17" s="210" t="s">
        <v>43</v>
      </c>
      <c r="AV17" s="210" t="s">
        <v>13</v>
      </c>
      <c r="AW17" s="210" t="s">
        <v>0</v>
      </c>
      <c r="AX17" s="210" t="s">
        <v>11</v>
      </c>
      <c r="AY17" s="210" t="s">
        <v>10</v>
      </c>
      <c r="AZ17" s="89"/>
      <c r="BA17" s="89"/>
    </row>
    <row r="18" spans="1:53" ht="21" x14ac:dyDescent="0.35">
      <c r="A18" s="89"/>
      <c r="B18" s="217" t="e">
        <f>100-C18-D18-E18-F18-G18-H18-I18-J18-K18-L18-M18-N18-O18-P18-Q18-R18-S18-T18-U18-V18-W18-X18-Y18-Z18</f>
        <v>#DIV/0!</v>
      </c>
      <c r="C18" s="218">
        <f>C7</f>
        <v>0</v>
      </c>
      <c r="D18" s="218" t="e">
        <f t="shared" ref="D18:Z18" si="3">D4</f>
        <v>#DIV/0!</v>
      </c>
      <c r="E18" s="218" t="e">
        <f t="shared" si="3"/>
        <v>#DIV/0!</v>
      </c>
      <c r="F18" s="218" t="e">
        <f t="shared" si="3"/>
        <v>#DIV/0!</v>
      </c>
      <c r="G18" s="218" t="e">
        <f>G7</f>
        <v>#DIV/0!</v>
      </c>
      <c r="H18" s="218" t="e">
        <f t="shared" si="3"/>
        <v>#DIV/0!</v>
      </c>
      <c r="I18" s="218" t="e">
        <f t="shared" si="3"/>
        <v>#DIV/0!</v>
      </c>
      <c r="J18" s="218" t="e">
        <f t="shared" si="3"/>
        <v>#DIV/0!</v>
      </c>
      <c r="K18" s="218" t="e">
        <f t="shared" si="3"/>
        <v>#DIV/0!</v>
      </c>
      <c r="L18" s="218">
        <f>L7</f>
        <v>0</v>
      </c>
      <c r="M18" s="218">
        <f>M7</f>
        <v>0</v>
      </c>
      <c r="N18" s="218" t="e">
        <f>N7</f>
        <v>#DIV/0!</v>
      </c>
      <c r="O18" s="218" t="e">
        <f t="shared" si="3"/>
        <v>#DIV/0!</v>
      </c>
      <c r="P18" s="218" t="e">
        <f t="shared" si="3"/>
        <v>#DIV/0!</v>
      </c>
      <c r="Q18" s="218" t="e">
        <f t="shared" si="3"/>
        <v>#DIV/0!</v>
      </c>
      <c r="R18" s="218" t="e">
        <f t="shared" si="3"/>
        <v>#DIV/0!</v>
      </c>
      <c r="S18" s="218" t="e">
        <f t="shared" si="3"/>
        <v>#DIV/0!</v>
      </c>
      <c r="T18" s="218" t="e">
        <f t="shared" si="3"/>
        <v>#DIV/0!</v>
      </c>
      <c r="U18" s="218" t="e">
        <f t="shared" si="3"/>
        <v>#DIV/0!</v>
      </c>
      <c r="V18" s="218" t="e">
        <f t="shared" si="3"/>
        <v>#DIV/0!</v>
      </c>
      <c r="W18" s="218" t="e">
        <f t="shared" si="3"/>
        <v>#DIV/0!</v>
      </c>
      <c r="X18" s="218" t="e">
        <f t="shared" si="3"/>
        <v>#DIV/0!</v>
      </c>
      <c r="Y18" s="218" t="e">
        <f t="shared" si="3"/>
        <v>#DIV/0!</v>
      </c>
      <c r="Z18" s="218" t="e">
        <f t="shared" si="3"/>
        <v>#DIV/0!</v>
      </c>
      <c r="AA18" s="219">
        <v>55.84</v>
      </c>
      <c r="AB18" s="219">
        <v>28.0855</v>
      </c>
      <c r="AC18" s="219">
        <v>58.693399999999997</v>
      </c>
      <c r="AD18" s="219">
        <v>63.545999999999999</v>
      </c>
      <c r="AE18" s="219">
        <v>65.38</v>
      </c>
      <c r="AF18" s="219">
        <v>12.01</v>
      </c>
      <c r="AG18" s="219">
        <v>30.973762000000001</v>
      </c>
      <c r="AH18" s="219">
        <v>32.064999999999998</v>
      </c>
      <c r="AI18" s="219">
        <v>14.0067</v>
      </c>
      <c r="AJ18" s="219">
        <v>10.81</v>
      </c>
      <c r="AK18" s="219">
        <v>54.938043999999998</v>
      </c>
      <c r="AL18" s="219">
        <v>26.981539999999999</v>
      </c>
      <c r="AM18" s="219">
        <v>51.996099999999998</v>
      </c>
      <c r="AN18" s="219">
        <v>95.95</v>
      </c>
      <c r="AO18" s="220">
        <v>47.866999999999997</v>
      </c>
      <c r="AP18" s="220">
        <v>50.941499999999998</v>
      </c>
      <c r="AQ18" s="220">
        <v>92.906369999999995</v>
      </c>
      <c r="AR18" s="220">
        <v>183.84</v>
      </c>
      <c r="AS18" s="220">
        <v>180.94788</v>
      </c>
      <c r="AT18" s="220">
        <v>91.224000000000004</v>
      </c>
      <c r="AU18" s="220">
        <v>58.933194999999998</v>
      </c>
      <c r="AV18" s="220">
        <v>24.305</v>
      </c>
      <c r="AW18" s="219">
        <v>121.76</v>
      </c>
      <c r="AX18" s="219">
        <v>207.2</v>
      </c>
      <c r="AY18" s="219">
        <v>118.71</v>
      </c>
      <c r="AZ18" s="89"/>
      <c r="BA18" s="89"/>
    </row>
    <row r="19" spans="1:53" ht="21" x14ac:dyDescent="0.35">
      <c r="A19" s="89"/>
      <c r="B19" s="217" t="e">
        <f>100*((((B18)*(AA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C19" s="217" t="e">
        <f>100*((((C18)*(AB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D19" s="217" t="e">
        <f>100*((((D18)*(AC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E19" s="217" t="e">
        <f>100*((((E18)*(AD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F19" s="217" t="e">
        <f>100*((((F18)*(AE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G19" s="217" t="e">
        <f>100*((((G18)*(AF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H19" s="217" t="e">
        <f>100*((((H18)*(AG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I19" s="217" t="e">
        <f>100*((((I18)*(AH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J19" s="217" t="e">
        <f>100*((((J18)*(AI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K19" s="217" t="e">
        <f>100*((((K18)*(AJ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L19" s="217" t="e">
        <f>100*((((L18)*(AK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M19" s="217" t="e">
        <f>100*((((M18)*(AL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N19" s="217" t="e">
        <f>100*((((N18)*(AM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O19" s="217" t="e">
        <f>100*((((O18)*(AN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P19" s="217" t="e">
        <f>100*((((P18)*(AO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Q19" s="217" t="e">
        <f>100*((((Q18)*(AP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R19" s="217" t="e">
        <f>100*((((R18)*(AQ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S19" s="217" t="e">
        <f>100*((((S18)*(AR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T19" s="217" t="e">
        <f>100*((((T18)*(AS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U19" s="217" t="e">
        <f>100*((((U18)*(AT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V19" s="217" t="e">
        <f>100*((((V18)*(AU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W19" s="217" t="e">
        <f>100*((((W18)*(AV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X19" s="219" t="e">
        <f>100*((((X18)*(AW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Y19" s="219" t="e">
        <f>100*((((Y18)*(AX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Z19" s="219" t="e">
        <f>100*((((Z18)*(AY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#DIV/0!</v>
      </c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89"/>
      <c r="BA19" s="89"/>
    </row>
    <row r="20" spans="1:53" ht="21" x14ac:dyDescent="0.35">
      <c r="A20" s="89"/>
      <c r="B20" s="89"/>
      <c r="C20" s="89"/>
      <c r="D20" s="89"/>
      <c r="E20" s="89" t="e">
        <f>E19/'opt 13'!G6</f>
        <v>#DIV/0!</v>
      </c>
      <c r="F20" s="89" t="e">
        <f>F19/'opt 13'!G6</f>
        <v>#DIV/0!</v>
      </c>
      <c r="G20" s="89" t="e">
        <f>G19/'opt 13'!G6</f>
        <v>#DIV/0!</v>
      </c>
      <c r="H20" s="89" t="e">
        <f>H19/'opt 13'!G6</f>
        <v>#DIV/0!</v>
      </c>
      <c r="I20" s="89" t="e">
        <f>I19/'opt 13'!G6</f>
        <v>#DIV/0!</v>
      </c>
      <c r="J20" s="89"/>
      <c r="K20" s="89"/>
      <c r="L20" s="89" t="e">
        <f>L19/'opt 13'!G6</f>
        <v>#DIV/0!</v>
      </c>
      <c r="M20" s="89" t="e">
        <f>M19/'opt 13'!G6</f>
        <v>#DIV/0!</v>
      </c>
      <c r="N20" s="89" t="e">
        <f>N19/'opt 13'!G6</f>
        <v>#DIV/0!</v>
      </c>
      <c r="O20" s="89" t="e">
        <f>O19/'opt 13'!G6</f>
        <v>#DIV/0!</v>
      </c>
      <c r="P20" s="89" t="e">
        <f>P19/'opt 13'!G6</f>
        <v>#DIV/0!</v>
      </c>
      <c r="Q20" s="89" t="e">
        <f>Q19/'opt 13'!G6</f>
        <v>#DIV/0!</v>
      </c>
      <c r="R20" s="89" t="e">
        <f>R19/'opt 13'!G6</f>
        <v>#DIV/0!</v>
      </c>
      <c r="S20" s="89" t="e">
        <f>S19/'opt 13'!G6</f>
        <v>#DIV/0!</v>
      </c>
      <c r="T20" s="89" t="e">
        <f>T19/'opt 13'!G6</f>
        <v>#DIV/0!</v>
      </c>
      <c r="U20" s="89" t="e">
        <f>U19/'opt 13'!G6</f>
        <v>#DIV/0!</v>
      </c>
      <c r="V20" s="89" t="e">
        <f>V19/'opt 13'!G6</f>
        <v>#DIV/0!</v>
      </c>
      <c r="W20" s="89" t="e">
        <f>W19/'opt 13'!G6</f>
        <v>#DIV/0!</v>
      </c>
      <c r="X20" s="89" t="e">
        <f>X19/'opt 13'!G6</f>
        <v>#DIV/0!</v>
      </c>
      <c r="Y20" s="89" t="e">
        <f>Y19/'opt 13'!G6</f>
        <v>#DIV/0!</v>
      </c>
      <c r="Z20" s="89" t="e">
        <f>Z19/'opt 13'!G6</f>
        <v>#DIV/0!</v>
      </c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</row>
    <row r="21" spans="1:53" ht="21" x14ac:dyDescent="0.3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</row>
    <row r="22" spans="1:53" ht="21" x14ac:dyDescent="0.3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</row>
    <row r="23" spans="1:53" ht="21" x14ac:dyDescent="0.3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</row>
  </sheetData>
  <pageMargins left="0.7" right="0.7" top="0.75" bottom="0.75" header="0.3" footer="0.3"/>
  <pageSetup paperSize="9" orientation="portrait" verticalDpi="597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BA395-0626-4D12-9C85-6A28B1580C68}">
  <dimension ref="A1:AY25"/>
  <sheetViews>
    <sheetView zoomScale="96" zoomScaleNormal="96" workbookViewId="0">
      <selection activeCell="H25" sqref="H25"/>
    </sheetView>
  </sheetViews>
  <sheetFormatPr baseColWidth="10" defaultColWidth="8.7109375" defaultRowHeight="15" x14ac:dyDescent="0.25"/>
  <cols>
    <col min="1" max="1" width="24.42578125" customWidth="1"/>
    <col min="2" max="2" width="22.85546875" customWidth="1"/>
    <col min="3" max="3" width="11.28515625" customWidth="1"/>
    <col min="4" max="4" width="9.5703125" customWidth="1"/>
    <col min="5" max="5" width="10.28515625" customWidth="1"/>
    <col min="6" max="6" width="8" customWidth="1"/>
    <col min="7" max="7" width="7.28515625" customWidth="1"/>
    <col min="8" max="8" width="6.5703125" customWidth="1"/>
    <col min="9" max="9" width="9.42578125" customWidth="1"/>
    <col min="10" max="11" width="12.7109375" customWidth="1"/>
    <col min="12" max="12" width="7.85546875" customWidth="1"/>
    <col min="13" max="13" width="8" customWidth="1"/>
    <col min="14" max="14" width="8.85546875" customWidth="1"/>
    <col min="15" max="15" width="9.140625" customWidth="1"/>
    <col min="16" max="17" width="8.85546875" bestFit="1" customWidth="1"/>
  </cols>
  <sheetData>
    <row r="1" spans="1:51" ht="21" x14ac:dyDescent="0.35">
      <c r="A1" s="89" t="s">
        <v>34</v>
      </c>
      <c r="B1" s="89"/>
      <c r="C1" s="89">
        <f>C5-C2</f>
        <v>3.0806052622011419</v>
      </c>
      <c r="D1" s="89">
        <f>D4-D2</f>
        <v>1.3390140731654472</v>
      </c>
      <c r="E1" s="89">
        <f>E2-E5</f>
        <v>0</v>
      </c>
      <c r="F1" s="89">
        <f>F4-F2</f>
        <v>0</v>
      </c>
      <c r="G1" s="89">
        <f t="shared" ref="G1:O1" si="0">G4-G2</f>
        <v>0.91521970155323784</v>
      </c>
      <c r="H1" s="89">
        <f t="shared" si="0"/>
        <v>8.8718546811123438E-3</v>
      </c>
      <c r="I1" s="89">
        <f>I4-I2</f>
        <v>1.7139854382745025E-3</v>
      </c>
      <c r="J1" s="89">
        <f>J5-J2</f>
        <v>0</v>
      </c>
      <c r="K1" s="89">
        <f>K5-K2</f>
        <v>0</v>
      </c>
      <c r="L1" s="89">
        <f t="shared" si="0"/>
        <v>1.6006086588236572</v>
      </c>
      <c r="M1" s="89">
        <f t="shared" si="0"/>
        <v>2.2612196288118464E-3</v>
      </c>
      <c r="N1" s="89">
        <f t="shared" si="0"/>
        <v>1.3740766327042508</v>
      </c>
      <c r="O1" s="89">
        <f t="shared" si="0"/>
        <v>0.10882959025400381</v>
      </c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</row>
    <row r="2" spans="1:51" ht="21" x14ac:dyDescent="0.35">
      <c r="A2" s="89" t="s">
        <v>37</v>
      </c>
      <c r="B2" s="138">
        <f>100-C2-D2-E2-F2-G2-H2-I2-J2-K2-L2-M2-N2-O2</f>
        <v>100</v>
      </c>
      <c r="C2" s="89">
        <f>'1.0330_3'!C16</f>
        <v>0</v>
      </c>
      <c r="D2" s="89">
        <f>'1.0330_3'!D16</f>
        <v>0</v>
      </c>
      <c r="E2" s="89">
        <f>'1.0330_3'!E16</f>
        <v>0</v>
      </c>
      <c r="F2" s="89">
        <f>'1.0330_3'!F16</f>
        <v>0</v>
      </c>
      <c r="G2" s="89">
        <f>'1.0330_3'!G16</f>
        <v>0</v>
      </c>
      <c r="H2" s="89">
        <f>'1.0330_3'!H16</f>
        <v>0</v>
      </c>
      <c r="I2" s="89">
        <f>'1.0330_3'!I16</f>
        <v>0</v>
      </c>
      <c r="J2" s="89">
        <f>'1.0330_3'!J16</f>
        <v>0</v>
      </c>
      <c r="K2" s="89">
        <f>'1.0330_3'!K16</f>
        <v>0</v>
      </c>
      <c r="L2" s="89">
        <f>'1.0330_3'!L16</f>
        <v>0</v>
      </c>
      <c r="M2" s="89">
        <f>'1.0330_3'!M16</f>
        <v>0</v>
      </c>
      <c r="N2" s="89">
        <f>'1.0330_3'!N16</f>
        <v>0</v>
      </c>
      <c r="O2" s="89">
        <f>'1.0330_3'!O16</f>
        <v>0</v>
      </c>
      <c r="P2" s="89">
        <f>'1.0330_3'!P16</f>
        <v>0</v>
      </c>
      <c r="Q2" s="89">
        <f>'1.0330_3'!Q16</f>
        <v>0</v>
      </c>
      <c r="R2" s="89">
        <f>'1.0330_3'!R16</f>
        <v>0</v>
      </c>
      <c r="S2" s="89">
        <f>'1.0330_3'!S16</f>
        <v>0</v>
      </c>
      <c r="T2" s="89">
        <f>'1.0330_3'!T16</f>
        <v>0</v>
      </c>
      <c r="U2" s="89">
        <f>'1.0330_3'!U16</f>
        <v>0</v>
      </c>
      <c r="V2" s="89">
        <f>'1.0330_3'!V16</f>
        <v>0</v>
      </c>
      <c r="W2" s="89">
        <f>'1.0330_3'!W16</f>
        <v>0</v>
      </c>
      <c r="X2" s="89">
        <f>'1.0330_3'!X16</f>
        <v>0</v>
      </c>
      <c r="Y2" s="89">
        <f>'1.0330_3'!Y16</f>
        <v>0</v>
      </c>
      <c r="Z2" s="89">
        <f>'1.0330_3'!Z16</f>
        <v>0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</row>
    <row r="3" spans="1:51" ht="21" x14ac:dyDescent="0.35">
      <c r="A3" s="89"/>
      <c r="B3" s="210" t="s">
        <v>14</v>
      </c>
      <c r="C3" s="210" t="s">
        <v>15</v>
      </c>
      <c r="D3" s="210" t="s">
        <v>8</v>
      </c>
      <c r="E3" s="210" t="s">
        <v>9</v>
      </c>
      <c r="F3" s="210" t="s">
        <v>234</v>
      </c>
      <c r="G3" s="210" t="s">
        <v>56</v>
      </c>
      <c r="H3" s="210" t="s">
        <v>57</v>
      </c>
      <c r="I3" s="210" t="s">
        <v>58</v>
      </c>
      <c r="J3" s="210" t="s">
        <v>77</v>
      </c>
      <c r="K3" s="210" t="s">
        <v>204</v>
      </c>
      <c r="L3" s="210" t="s">
        <v>16</v>
      </c>
      <c r="M3" s="210" t="s">
        <v>12</v>
      </c>
      <c r="N3" s="210" t="s">
        <v>44</v>
      </c>
      <c r="O3" s="210" t="s">
        <v>55</v>
      </c>
      <c r="P3" s="210" t="s">
        <v>17</v>
      </c>
      <c r="Q3" s="210" t="s">
        <v>80</v>
      </c>
      <c r="R3" s="210" t="s">
        <v>81</v>
      </c>
      <c r="S3" s="210" t="s">
        <v>82</v>
      </c>
      <c r="T3" s="210" t="s">
        <v>83</v>
      </c>
      <c r="U3" s="210" t="s">
        <v>45</v>
      </c>
      <c r="V3" s="210" t="s">
        <v>43</v>
      </c>
      <c r="W3" s="210" t="s">
        <v>13</v>
      </c>
      <c r="X3" s="210" t="s">
        <v>0</v>
      </c>
      <c r="Y3" s="210" t="s">
        <v>11</v>
      </c>
      <c r="Z3" s="210" t="s">
        <v>10</v>
      </c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</row>
    <row r="4" spans="1:51" ht="21" x14ac:dyDescent="0.35">
      <c r="A4" s="89" t="s">
        <v>35</v>
      </c>
      <c r="B4" s="89">
        <f>100-C4-D4-E4-F4-G4-H4-I4-J4-K4-L4-M4-N4-O4-P4-Q4-R4-S4-T4-U4-V4-W4-X4-Y4-Z4</f>
        <v>92.840162287943642</v>
      </c>
      <c r="C4" s="89">
        <f>'opt 1'!B3</f>
        <v>1.741591189035695</v>
      </c>
      <c r="D4" s="89">
        <f>'opt 1'!C3</f>
        <v>1.3390140731654472</v>
      </c>
      <c r="E4" s="89">
        <f>'opt 1'!D3</f>
        <v>0</v>
      </c>
      <c r="F4" s="89">
        <f>'opt 1'!E3</f>
        <v>0</v>
      </c>
      <c r="G4" s="89">
        <f>'opt 1'!F3</f>
        <v>0.91521970155323784</v>
      </c>
      <c r="H4" s="89">
        <f>'opt 1'!G3</f>
        <v>8.8718546811123438E-3</v>
      </c>
      <c r="I4" s="89">
        <f>'opt 1'!H3</f>
        <v>1.7139854382745025E-3</v>
      </c>
      <c r="J4" s="89">
        <f>'opt 1'!I3</f>
        <v>3.9237609914021089E-3</v>
      </c>
      <c r="K4" s="89">
        <f>'opt 1'!J3</f>
        <v>7.6261253115085933E-3</v>
      </c>
      <c r="L4" s="89">
        <f>'opt 1'!K3</f>
        <v>1.6006086588236572</v>
      </c>
      <c r="M4" s="89">
        <f>'opt 1'!L3</f>
        <v>2.2612196288118464E-3</v>
      </c>
      <c r="N4" s="89">
        <f>'opt 1'!M3</f>
        <v>1.3740766327042508</v>
      </c>
      <c r="O4" s="89">
        <f>'opt 1'!N3</f>
        <v>0.10882959025400381</v>
      </c>
      <c r="P4" s="89">
        <f>'opt 1'!O3</f>
        <v>0</v>
      </c>
      <c r="Q4" s="89">
        <f>'opt 1'!P3</f>
        <v>5.6100920468972061E-2</v>
      </c>
      <c r="R4" s="89">
        <f>'opt 1'!Q3</f>
        <v>0</v>
      </c>
      <c r="S4" s="89">
        <f>'opt 1'!R3</f>
        <v>0</v>
      </c>
      <c r="T4" s="89">
        <f>'opt 1'!S3</f>
        <v>0</v>
      </c>
      <c r="U4" s="89">
        <f>'opt 1'!T3</f>
        <v>0</v>
      </c>
      <c r="V4" s="89">
        <f>'opt 1'!U3</f>
        <v>0</v>
      </c>
      <c r="W4" s="89">
        <f>'opt 1'!V3</f>
        <v>0</v>
      </c>
      <c r="X4" s="89">
        <f>'opt 1'!W3</f>
        <v>0</v>
      </c>
      <c r="Y4" s="89">
        <f>'opt 1'!X3</f>
        <v>0</v>
      </c>
      <c r="Z4" s="89">
        <f>'opt 1'!Y3</f>
        <v>0</v>
      </c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</row>
    <row r="5" spans="1:51" ht="21" x14ac:dyDescent="0.35">
      <c r="A5" s="89" t="s">
        <v>36</v>
      </c>
      <c r="B5" s="89">
        <f>100-C5-D5-E5-F5-G5-H5-I5-J5-K5-L5-M5-N5-O5</f>
        <v>95.129458622201113</v>
      </c>
      <c r="C5" s="149">
        <f>C4+D4+E4+F4</f>
        <v>3.0806052622011419</v>
      </c>
      <c r="D5" s="158"/>
      <c r="E5" s="159"/>
      <c r="F5" s="159"/>
      <c r="G5" s="159">
        <f>G2+H4+I4+J4+K4</f>
        <v>2.2135726422297549E-2</v>
      </c>
      <c r="H5" s="159"/>
      <c r="I5" s="159"/>
      <c r="J5" s="149"/>
      <c r="K5" s="149"/>
      <c r="L5" s="7">
        <f>L4</f>
        <v>1.6006086588236572</v>
      </c>
      <c r="M5" s="7">
        <f>M4+P4+Q4+R4+S4+T4+U4+V4+W4+X4+Y4+Z4</f>
        <v>5.8362140097783906E-2</v>
      </c>
      <c r="N5" s="7">
        <f>N2+O4</f>
        <v>0.10882959025400381</v>
      </c>
      <c r="O5" s="7"/>
      <c r="P5" s="7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</row>
    <row r="6" spans="1:51" ht="21" x14ac:dyDescent="0.35">
      <c r="A6" s="89"/>
      <c r="B6" s="8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</row>
    <row r="7" spans="1:51" ht="21" x14ac:dyDescent="0.35">
      <c r="A7" s="89" t="s">
        <v>92</v>
      </c>
      <c r="B7" s="139">
        <f>100-C7-D7-E7-F7-G7-H7-I7-J7-K7-L7-M7-N7-O7-P7-Q7-R7-S7-T7-U7-V7-W7-X7-Y7-Z7</f>
        <v>101.52608031031072</v>
      </c>
      <c r="C7" s="156">
        <f>C2-D4-E4-F4</f>
        <v>-1.3390140731654472</v>
      </c>
      <c r="D7" s="156">
        <f>D2</f>
        <v>0</v>
      </c>
      <c r="E7" s="156"/>
      <c r="F7" s="156"/>
      <c r="G7" s="156">
        <f>G2-H4-I4-J4-K4</f>
        <v>-2.2135726422297549E-2</v>
      </c>
      <c r="H7" s="156"/>
      <c r="I7" s="156"/>
      <c r="J7" s="156"/>
      <c r="K7" s="156"/>
      <c r="L7" s="156">
        <f>L2</f>
        <v>0</v>
      </c>
      <c r="M7" s="156">
        <f>M2-P4-Q4-R4-S4-T4-U4-V4-W4-X4-Y4-Z4</f>
        <v>-5.6100920468972061E-2</v>
      </c>
      <c r="N7" s="156">
        <f>N2-O4</f>
        <v>-0.10882959025400381</v>
      </c>
      <c r="O7" s="156"/>
      <c r="P7" s="156"/>
      <c r="Q7" s="177"/>
      <c r="R7" s="177"/>
      <c r="S7" s="177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</row>
    <row r="8" spans="1:51" ht="21" x14ac:dyDescent="0.35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</row>
    <row r="9" spans="1:51" ht="21" x14ac:dyDescent="0.35">
      <c r="A9" s="89"/>
      <c r="B9" s="89"/>
      <c r="C9" s="89"/>
      <c r="D9" s="89"/>
      <c r="E9" s="89"/>
      <c r="F9" s="89" t="s">
        <v>7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</row>
    <row r="10" spans="1:51" ht="21" x14ac:dyDescent="0.35">
      <c r="A10" s="89" t="s">
        <v>32</v>
      </c>
      <c r="B10" s="180"/>
      <c r="C10" s="180"/>
      <c r="D10" s="89"/>
      <c r="E10" s="180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</row>
    <row r="11" spans="1:51" ht="21" x14ac:dyDescent="0.35">
      <c r="A11" s="89" t="s">
        <v>33</v>
      </c>
      <c r="B11" s="181"/>
      <c r="C11" s="181"/>
      <c r="D11" s="89"/>
      <c r="E11" s="181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</row>
    <row r="12" spans="1:51" ht="21" x14ac:dyDescent="0.35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</row>
    <row r="13" spans="1:51" ht="21" x14ac:dyDescent="0.35">
      <c r="A13" s="89"/>
      <c r="B13" s="89" t="s">
        <v>14</v>
      </c>
      <c r="C13" s="180" t="s">
        <v>56</v>
      </c>
      <c r="D13" s="180" t="s">
        <v>15</v>
      </c>
      <c r="E13" s="181" t="s">
        <v>8</v>
      </c>
      <c r="F13" s="180" t="s">
        <v>9</v>
      </c>
      <c r="G13" s="180" t="s">
        <v>57</v>
      </c>
      <c r="H13" s="181" t="s">
        <v>58</v>
      </c>
      <c r="I13" s="180" t="s">
        <v>77</v>
      </c>
      <c r="J13" s="181" t="s">
        <v>13</v>
      </c>
      <c r="K13" s="180" t="s">
        <v>16</v>
      </c>
      <c r="L13" s="180" t="s">
        <v>55</v>
      </c>
      <c r="M13" s="181" t="s">
        <v>44</v>
      </c>
      <c r="N13" s="181" t="s">
        <v>10</v>
      </c>
      <c r="O13" s="180" t="s">
        <v>12</v>
      </c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</row>
    <row r="14" spans="1:51" ht="21" x14ac:dyDescent="0.35">
      <c r="A14" s="89" t="s">
        <v>39</v>
      </c>
      <c r="B14" s="89">
        <f>100-(C14+D14+E14+F14+G14+H14+I14+J14+K14+L14+M14+N14+O14)</f>
        <v>99.549077957567704</v>
      </c>
      <c r="C14" s="89">
        <f>C5-C1</f>
        <v>0</v>
      </c>
      <c r="D14" s="89">
        <f>D5-D1</f>
        <v>-1.3390140731654472</v>
      </c>
      <c r="E14" s="89">
        <f t="shared" ref="E14:I14" si="1">E5</f>
        <v>0</v>
      </c>
      <c r="F14" s="89">
        <f t="shared" si="1"/>
        <v>0</v>
      </c>
      <c r="G14" s="89">
        <f t="shared" si="1"/>
        <v>2.2135726422297549E-2</v>
      </c>
      <c r="H14" s="89">
        <f t="shared" si="1"/>
        <v>0</v>
      </c>
      <c r="I14" s="89">
        <f t="shared" si="1"/>
        <v>0</v>
      </c>
      <c r="J14" s="89">
        <f>J5-J1</f>
        <v>0</v>
      </c>
      <c r="K14" s="89">
        <f>K5-K1</f>
        <v>0</v>
      </c>
      <c r="L14" s="89">
        <f t="shared" ref="L14:O14" si="2">L5</f>
        <v>1.6006086588236572</v>
      </c>
      <c r="M14" s="89">
        <f t="shared" si="2"/>
        <v>5.8362140097783906E-2</v>
      </c>
      <c r="N14" s="89">
        <f t="shared" si="2"/>
        <v>0.10882959025400381</v>
      </c>
      <c r="O14" s="89">
        <f t="shared" si="2"/>
        <v>0</v>
      </c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</row>
    <row r="15" spans="1:51" ht="21" x14ac:dyDescent="0.3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</row>
    <row r="16" spans="1:51" ht="21" x14ac:dyDescent="0.3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</row>
    <row r="17" spans="1:51" ht="21" x14ac:dyDescent="0.35">
      <c r="A17" s="89"/>
      <c r="B17" s="210" t="s">
        <v>14</v>
      </c>
      <c r="C17" s="210" t="s">
        <v>15</v>
      </c>
      <c r="D17" s="210" t="s">
        <v>8</v>
      </c>
      <c r="E17" s="210" t="s">
        <v>9</v>
      </c>
      <c r="F17" s="210" t="s">
        <v>234</v>
      </c>
      <c r="G17" s="210" t="s">
        <v>56</v>
      </c>
      <c r="H17" s="210" t="s">
        <v>57</v>
      </c>
      <c r="I17" s="210" t="s">
        <v>58</v>
      </c>
      <c r="J17" s="210" t="s">
        <v>77</v>
      </c>
      <c r="K17" s="210" t="s">
        <v>204</v>
      </c>
      <c r="L17" s="210" t="s">
        <v>16</v>
      </c>
      <c r="M17" s="210" t="s">
        <v>12</v>
      </c>
      <c r="N17" s="210" t="s">
        <v>44</v>
      </c>
      <c r="O17" s="210" t="s">
        <v>55</v>
      </c>
      <c r="P17" s="210" t="s">
        <v>17</v>
      </c>
      <c r="Q17" s="210" t="s">
        <v>80</v>
      </c>
      <c r="R17" s="210" t="s">
        <v>81</v>
      </c>
      <c r="S17" s="210" t="s">
        <v>82</v>
      </c>
      <c r="T17" s="210" t="s">
        <v>83</v>
      </c>
      <c r="U17" s="210" t="s">
        <v>45</v>
      </c>
      <c r="V17" s="210" t="s">
        <v>43</v>
      </c>
      <c r="W17" s="210" t="s">
        <v>13</v>
      </c>
      <c r="X17" s="210" t="s">
        <v>0</v>
      </c>
      <c r="Y17" s="210" t="s">
        <v>11</v>
      </c>
      <c r="Z17" s="210" t="s">
        <v>10</v>
      </c>
      <c r="AA17" s="221" t="s">
        <v>14</v>
      </c>
      <c r="AB17" s="212" t="s">
        <v>15</v>
      </c>
      <c r="AC17" s="213" t="s">
        <v>8</v>
      </c>
      <c r="AD17" s="214" t="s">
        <v>9</v>
      </c>
      <c r="AE17" s="213" t="s">
        <v>234</v>
      </c>
      <c r="AF17" s="213" t="s">
        <v>56</v>
      </c>
      <c r="AG17" s="214" t="s">
        <v>57</v>
      </c>
      <c r="AH17" s="213" t="s">
        <v>58</v>
      </c>
      <c r="AI17" s="215" t="s">
        <v>77</v>
      </c>
      <c r="AJ17" s="216" t="s">
        <v>204</v>
      </c>
      <c r="AK17" s="216" t="s">
        <v>16</v>
      </c>
      <c r="AL17" s="215" t="s">
        <v>12</v>
      </c>
      <c r="AM17" s="215" t="s">
        <v>44</v>
      </c>
      <c r="AN17" s="216" t="s">
        <v>55</v>
      </c>
      <c r="AO17" s="210" t="s">
        <v>17</v>
      </c>
      <c r="AP17" s="210" t="s">
        <v>80</v>
      </c>
      <c r="AQ17" s="210" t="s">
        <v>81</v>
      </c>
      <c r="AR17" s="210" t="s">
        <v>82</v>
      </c>
      <c r="AS17" s="210" t="s">
        <v>83</v>
      </c>
      <c r="AT17" s="210" t="s">
        <v>45</v>
      </c>
      <c r="AU17" s="210" t="s">
        <v>43</v>
      </c>
      <c r="AV17" s="210" t="s">
        <v>13</v>
      </c>
      <c r="AW17" s="210" t="s">
        <v>0</v>
      </c>
      <c r="AX17" s="210" t="s">
        <v>11</v>
      </c>
      <c r="AY17" s="210" t="s">
        <v>10</v>
      </c>
    </row>
    <row r="18" spans="1:51" ht="21" x14ac:dyDescent="0.35">
      <c r="A18" s="89"/>
      <c r="B18" s="217">
        <f>100-C18-D18-E18-F18-G18-H18-I18-J18-K18-L18-M18-N18-O18-P18-Q18-R18-S18-T18-U18-V18-W18-X18-Y18-Z18</f>
        <v>100</v>
      </c>
      <c r="C18" s="218">
        <f>C7</f>
        <v>-1.3390140731654472</v>
      </c>
      <c r="D18" s="218">
        <f t="shared" ref="D18:Z18" si="3">D4</f>
        <v>1.3390140731654472</v>
      </c>
      <c r="E18" s="218">
        <f t="shared" si="3"/>
        <v>0</v>
      </c>
      <c r="F18" s="218">
        <f t="shared" si="3"/>
        <v>0</v>
      </c>
      <c r="G18" s="218">
        <f>G7</f>
        <v>-2.2135726422297549E-2</v>
      </c>
      <c r="H18" s="218">
        <f t="shared" si="3"/>
        <v>8.8718546811123438E-3</v>
      </c>
      <c r="I18" s="218">
        <f t="shared" si="3"/>
        <v>1.7139854382745025E-3</v>
      </c>
      <c r="J18" s="218">
        <f t="shared" si="3"/>
        <v>3.9237609914021089E-3</v>
      </c>
      <c r="K18" s="218">
        <f t="shared" si="3"/>
        <v>7.6261253115085933E-3</v>
      </c>
      <c r="L18" s="218">
        <f>L7</f>
        <v>0</v>
      </c>
      <c r="M18" s="218">
        <f>M7</f>
        <v>-5.6100920468972061E-2</v>
      </c>
      <c r="N18" s="218">
        <f>N7</f>
        <v>-0.10882959025400381</v>
      </c>
      <c r="O18" s="218">
        <f t="shared" si="3"/>
        <v>0.10882959025400381</v>
      </c>
      <c r="P18" s="218">
        <f t="shared" si="3"/>
        <v>0</v>
      </c>
      <c r="Q18" s="218">
        <f t="shared" si="3"/>
        <v>5.6100920468972061E-2</v>
      </c>
      <c r="R18" s="218">
        <f t="shared" si="3"/>
        <v>0</v>
      </c>
      <c r="S18" s="218">
        <f t="shared" si="3"/>
        <v>0</v>
      </c>
      <c r="T18" s="218">
        <f t="shared" si="3"/>
        <v>0</v>
      </c>
      <c r="U18" s="218">
        <f t="shared" si="3"/>
        <v>0</v>
      </c>
      <c r="V18" s="218">
        <f t="shared" si="3"/>
        <v>0</v>
      </c>
      <c r="W18" s="218">
        <f t="shared" si="3"/>
        <v>0</v>
      </c>
      <c r="X18" s="218">
        <f t="shared" si="3"/>
        <v>0</v>
      </c>
      <c r="Y18" s="218">
        <f t="shared" si="3"/>
        <v>0</v>
      </c>
      <c r="Z18" s="218">
        <f t="shared" si="3"/>
        <v>0</v>
      </c>
      <c r="AA18" s="219">
        <v>55.84</v>
      </c>
      <c r="AB18" s="219">
        <v>28.0855</v>
      </c>
      <c r="AC18" s="219">
        <v>58.693399999999997</v>
      </c>
      <c r="AD18" s="219">
        <v>63.545999999999999</v>
      </c>
      <c r="AE18" s="219">
        <v>65.38</v>
      </c>
      <c r="AF18" s="219">
        <v>12.01</v>
      </c>
      <c r="AG18" s="219">
        <v>30.973762000000001</v>
      </c>
      <c r="AH18" s="219">
        <v>32.064999999999998</v>
      </c>
      <c r="AI18" s="219">
        <v>14.0067</v>
      </c>
      <c r="AJ18" s="219">
        <v>10.81</v>
      </c>
      <c r="AK18" s="219">
        <v>54.938043999999998</v>
      </c>
      <c r="AL18" s="219">
        <v>26.981539999999999</v>
      </c>
      <c r="AM18" s="219">
        <v>51.996099999999998</v>
      </c>
      <c r="AN18" s="219">
        <v>95.95</v>
      </c>
      <c r="AO18" s="220">
        <v>47.866999999999997</v>
      </c>
      <c r="AP18" s="220">
        <v>50.941499999999998</v>
      </c>
      <c r="AQ18" s="220">
        <v>92.906369999999995</v>
      </c>
      <c r="AR18" s="220">
        <v>183.84</v>
      </c>
      <c r="AS18" s="220">
        <v>180.94788</v>
      </c>
      <c r="AT18" s="220">
        <v>91.224000000000004</v>
      </c>
      <c r="AU18" s="220">
        <v>58.933194999999998</v>
      </c>
      <c r="AV18" s="220">
        <v>24.305</v>
      </c>
      <c r="AW18" s="219">
        <v>121.76</v>
      </c>
      <c r="AX18" s="219">
        <v>207.2</v>
      </c>
      <c r="AY18" s="219">
        <v>118.71</v>
      </c>
    </row>
    <row r="19" spans="1:51" ht="21" x14ac:dyDescent="0.35">
      <c r="A19" s="89"/>
      <c r="B19" s="217">
        <f>100*((((B18)*(AA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99.159816415528454</v>
      </c>
      <c r="C19" s="217">
        <f>100*((((C18)*(AB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-0.66781720848103243</v>
      </c>
      <c r="D19" s="217">
        <f>100*((((D18)*(AC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1.3956120611796345</v>
      </c>
      <c r="E19" s="217">
        <f>100*((((E18)*(AD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F19" s="217">
        <f>100*((((F18)*(AE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G19" s="217">
        <f>100*((((G18)*(AF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-4.720924886245567E-3</v>
      </c>
      <c r="H19" s="217">
        <f>100*((((H18)*(AG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4.879762451677044E-3</v>
      </c>
      <c r="I19" s="217">
        <f>100*((((I18)*(AH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9.7595249033540865E-4</v>
      </c>
      <c r="J19" s="217">
        <f>100*((((J18)*(AI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9.7595249033540865E-4</v>
      </c>
      <c r="K19" s="217">
        <f>100*((((K18)*(AJ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1.4639287355031135E-3</v>
      </c>
      <c r="L19" s="217">
        <f>100*((((L18)*(AK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M19" s="217">
        <f>100*((((M18)*(AL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-2.6879861411940972E-2</v>
      </c>
      <c r="N19" s="217">
        <f>100*((((N18)*(AM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-0.10048658075787908</v>
      </c>
      <c r="O19" s="217">
        <f>100*((((O18)*(AN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0.18543097316372764</v>
      </c>
      <c r="P19" s="217">
        <f>100*((((P18)*(AO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Q19" s="217">
        <f>100*((((Q18)*(AP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5.0749529497441256E-2</v>
      </c>
      <c r="R19" s="217">
        <f>100*((((R18)*(AQ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S19" s="217">
        <f>100*((((S18)*(AR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T19" s="217">
        <f>100*((((T18)*(AS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U19" s="217">
        <f>100*((((U18)*(AT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V19" s="217">
        <f>100*((((V18)*(AU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W19" s="217">
        <f>100*((((W18)*(AV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X19" s="219">
        <f>100*((((X18)*(AW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Y19" s="219">
        <f>100*((((Y18)*(AX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Z19" s="219">
        <f>100*((((Z18)*(AY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</row>
    <row r="20" spans="1:51" ht="21" x14ac:dyDescent="0.35">
      <c r="A20" s="89"/>
      <c r="B20" s="89"/>
      <c r="C20" s="89"/>
      <c r="D20" s="89"/>
      <c r="E20" s="89" t="e">
        <f>E19/'opt 13'!G6</f>
        <v>#DIV/0!</v>
      </c>
      <c r="F20" s="89" t="e">
        <f>F19/'opt 13'!G6</f>
        <v>#DIV/0!</v>
      </c>
      <c r="G20" s="89" t="e">
        <f>G19/'opt 13'!G6</f>
        <v>#DIV/0!</v>
      </c>
      <c r="H20" s="89" t="e">
        <f>H19/'opt 13'!G6</f>
        <v>#DIV/0!</v>
      </c>
      <c r="I20" s="89" t="e">
        <f>I19/'opt 13'!G6</f>
        <v>#DIV/0!</v>
      </c>
      <c r="J20" s="89"/>
      <c r="K20" s="89"/>
      <c r="L20" s="89" t="e">
        <f>L19/'opt 13'!G6</f>
        <v>#DIV/0!</v>
      </c>
      <c r="M20" s="89" t="e">
        <f>M19/'opt 13'!G6</f>
        <v>#DIV/0!</v>
      </c>
      <c r="N20" s="89" t="e">
        <f>N19/'opt 13'!G6</f>
        <v>#DIV/0!</v>
      </c>
      <c r="O20" s="89" t="e">
        <f>O19/'opt 13'!G6</f>
        <v>#DIV/0!</v>
      </c>
      <c r="P20" s="89" t="e">
        <f>P19/'opt 13'!G6</f>
        <v>#DIV/0!</v>
      </c>
      <c r="Q20" s="89" t="e">
        <f>Q19/'opt 13'!G6</f>
        <v>#DIV/0!</v>
      </c>
      <c r="R20" s="89" t="e">
        <f>R19/'opt 13'!G6</f>
        <v>#DIV/0!</v>
      </c>
      <c r="S20" s="89" t="e">
        <f>S19/'opt 13'!G6</f>
        <v>#DIV/0!</v>
      </c>
      <c r="T20" s="89" t="e">
        <f>T19/'opt 13'!G6</f>
        <v>#DIV/0!</v>
      </c>
      <c r="U20" s="89" t="e">
        <f>U19/'opt 13'!G6</f>
        <v>#DIV/0!</v>
      </c>
      <c r="V20" s="89" t="e">
        <f>V19/'opt 13'!G6</f>
        <v>#DIV/0!</v>
      </c>
      <c r="W20" s="89" t="e">
        <f>W19/'opt 13'!G6</f>
        <v>#DIV/0!</v>
      </c>
      <c r="X20" s="89" t="e">
        <f>X19/'opt 13'!G6</f>
        <v>#DIV/0!</v>
      </c>
      <c r="Y20" s="89" t="e">
        <f>Y19/'opt 13'!G6</f>
        <v>#DIV/0!</v>
      </c>
      <c r="Z20" s="89" t="e">
        <f>Z19/'opt 13'!G6</f>
        <v>#DIV/0!</v>
      </c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</row>
    <row r="21" spans="1:51" ht="21" x14ac:dyDescent="0.3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</row>
    <row r="22" spans="1:51" ht="21" x14ac:dyDescent="0.3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</row>
    <row r="23" spans="1:51" ht="21" x14ac:dyDescent="0.3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</row>
    <row r="24" spans="1:51" ht="21" x14ac:dyDescent="0.3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</row>
    <row r="25" spans="1:51" ht="21" x14ac:dyDescent="0.3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</row>
  </sheetData>
  <pageMargins left="0.7" right="0.7" top="0.75" bottom="0.75" header="0.3" footer="0.3"/>
  <pageSetup paperSize="9" orientation="portrait" verticalDpi="597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A0757-19EF-4C02-927A-5AC4FED40FF7}">
  <dimension ref="A1:AX4"/>
  <sheetViews>
    <sheetView zoomScale="87" zoomScaleNormal="87" workbookViewId="0">
      <selection activeCell="B2" sqref="B2:Y2"/>
    </sheetView>
  </sheetViews>
  <sheetFormatPr baseColWidth="10" defaultRowHeight="15" x14ac:dyDescent="0.25"/>
  <cols>
    <col min="2" max="2" width="14.42578125" customWidth="1"/>
    <col min="3" max="3" width="16.28515625" customWidth="1"/>
  </cols>
  <sheetData>
    <row r="1" spans="1:50" ht="18" x14ac:dyDescent="0.25">
      <c r="A1" s="210" t="s">
        <v>14</v>
      </c>
      <c r="B1" s="210" t="s">
        <v>15</v>
      </c>
      <c r="C1" s="210" t="s">
        <v>8</v>
      </c>
      <c r="D1" s="210" t="s">
        <v>9</v>
      </c>
      <c r="E1" s="210" t="s">
        <v>234</v>
      </c>
      <c r="F1" s="210" t="s">
        <v>56</v>
      </c>
      <c r="G1" s="210" t="s">
        <v>57</v>
      </c>
      <c r="H1" s="210" t="s">
        <v>58</v>
      </c>
      <c r="I1" s="210" t="s">
        <v>77</v>
      </c>
      <c r="J1" s="210" t="s">
        <v>204</v>
      </c>
      <c r="K1" s="210" t="s">
        <v>16</v>
      </c>
      <c r="L1" s="210" t="s">
        <v>12</v>
      </c>
      <c r="M1" s="210" t="s">
        <v>44</v>
      </c>
      <c r="N1" s="210" t="s">
        <v>55</v>
      </c>
      <c r="O1" s="210" t="s">
        <v>17</v>
      </c>
      <c r="P1" s="210" t="s">
        <v>80</v>
      </c>
      <c r="Q1" s="210" t="s">
        <v>81</v>
      </c>
      <c r="R1" s="210" t="s">
        <v>82</v>
      </c>
      <c r="S1" s="210" t="s">
        <v>83</v>
      </c>
      <c r="T1" s="210" t="s">
        <v>45</v>
      </c>
      <c r="U1" s="210" t="s">
        <v>43</v>
      </c>
      <c r="V1" s="210" t="s">
        <v>13</v>
      </c>
      <c r="W1" s="210" t="s">
        <v>0</v>
      </c>
      <c r="X1" s="210" t="s">
        <v>11</v>
      </c>
      <c r="Y1" s="210" t="s">
        <v>10</v>
      </c>
      <c r="Z1" s="210" t="s">
        <v>14</v>
      </c>
      <c r="AA1" s="210" t="s">
        <v>15</v>
      </c>
      <c r="AB1" s="210" t="s">
        <v>8</v>
      </c>
      <c r="AC1" s="210" t="s">
        <v>9</v>
      </c>
      <c r="AD1" s="210" t="s">
        <v>234</v>
      </c>
      <c r="AE1" s="210" t="s">
        <v>56</v>
      </c>
      <c r="AF1" s="210" t="s">
        <v>57</v>
      </c>
      <c r="AG1" s="210" t="s">
        <v>58</v>
      </c>
      <c r="AH1" s="210" t="s">
        <v>77</v>
      </c>
      <c r="AI1" s="210" t="s">
        <v>204</v>
      </c>
      <c r="AJ1" s="210" t="s">
        <v>16</v>
      </c>
      <c r="AK1" s="210" t="s">
        <v>12</v>
      </c>
      <c r="AL1" s="210" t="s">
        <v>44</v>
      </c>
      <c r="AM1" s="210" t="s">
        <v>55</v>
      </c>
      <c r="AN1" s="210" t="s">
        <v>17</v>
      </c>
      <c r="AO1" s="210" t="s">
        <v>80</v>
      </c>
      <c r="AP1" s="210" t="s">
        <v>81</v>
      </c>
      <c r="AQ1" s="210" t="s">
        <v>82</v>
      </c>
      <c r="AR1" s="210" t="s">
        <v>83</v>
      </c>
      <c r="AS1" s="210" t="s">
        <v>45</v>
      </c>
      <c r="AT1" s="210" t="s">
        <v>43</v>
      </c>
      <c r="AU1" s="210" t="s">
        <v>13</v>
      </c>
      <c r="AV1" s="210" t="s">
        <v>0</v>
      </c>
      <c r="AW1" s="210" t="s">
        <v>11</v>
      </c>
      <c r="AX1" s="210" t="s">
        <v>10</v>
      </c>
    </row>
    <row r="2" spans="1:50" ht="23.25" x14ac:dyDescent="0.35">
      <c r="A2" s="36">
        <f>100-B2-C2-D2-E2-F2-G2-H2-I2-J2-K2-L2-M2-N2-O2-P2-Q2-R2-S2-T2-U2-V2-W2-X2-Y2</f>
        <v>100</v>
      </c>
      <c r="B2" s="71">
        <f>'1.0330_3'!C16</f>
        <v>0</v>
      </c>
      <c r="C2" s="71">
        <f>'1.0330_3'!D16</f>
        <v>0</v>
      </c>
      <c r="D2" s="71">
        <f>'1.0330_3'!E16</f>
        <v>0</v>
      </c>
      <c r="E2" s="71">
        <f>'1.0330_3'!F16</f>
        <v>0</v>
      </c>
      <c r="F2" s="71">
        <f>'1.0330_3'!G16</f>
        <v>0</v>
      </c>
      <c r="G2" s="71">
        <f>'1.0330_3'!H16</f>
        <v>0</v>
      </c>
      <c r="H2" s="71">
        <f>'1.0330_3'!I16</f>
        <v>0</v>
      </c>
      <c r="I2" s="71">
        <f>'1.0330_3'!J16</f>
        <v>0</v>
      </c>
      <c r="J2" s="71">
        <f>'1.0330_3'!K16</f>
        <v>0</v>
      </c>
      <c r="K2" s="71">
        <f>'1.0330_3'!L16</f>
        <v>0</v>
      </c>
      <c r="L2" s="71">
        <f>'1.0330_3'!M16</f>
        <v>0</v>
      </c>
      <c r="M2" s="71">
        <f>'1.0330_3'!N16</f>
        <v>0</v>
      </c>
      <c r="N2" s="71">
        <f>'1.0330_3'!O16</f>
        <v>0</v>
      </c>
      <c r="O2" s="71">
        <f>'1.0330_3'!P16</f>
        <v>0</v>
      </c>
      <c r="P2" s="71">
        <f>'1.0330_3'!Q16</f>
        <v>0</v>
      </c>
      <c r="Q2" s="71">
        <f>'1.0330_3'!R16</f>
        <v>0</v>
      </c>
      <c r="R2" s="71">
        <f>'1.0330_3'!S16</f>
        <v>0</v>
      </c>
      <c r="S2" s="71">
        <f>'1.0330_3'!T16</f>
        <v>0</v>
      </c>
      <c r="T2" s="71">
        <f>'1.0330_3'!U16</f>
        <v>0</v>
      </c>
      <c r="U2" s="71">
        <f>'1.0330_3'!V16</f>
        <v>0</v>
      </c>
      <c r="V2" s="71">
        <f>'1.0330_3'!W16</f>
        <v>0</v>
      </c>
      <c r="W2" s="71">
        <f>'1.0330_3'!X16</f>
        <v>0</v>
      </c>
      <c r="X2" s="71">
        <f>'1.0330_3'!Y16</f>
        <v>0</v>
      </c>
      <c r="Y2" s="71">
        <f>'1.0330_3'!Z16</f>
        <v>0</v>
      </c>
      <c r="Z2" s="68">
        <v>55.84</v>
      </c>
      <c r="AA2" s="7">
        <v>28.0855</v>
      </c>
      <c r="AB2" s="7">
        <v>58.693399999999997</v>
      </c>
      <c r="AC2" s="7">
        <v>63.545999999999999</v>
      </c>
      <c r="AD2" s="7">
        <v>65.38</v>
      </c>
      <c r="AE2" s="7">
        <v>12.01</v>
      </c>
      <c r="AF2" s="7">
        <v>30.973762000000001</v>
      </c>
      <c r="AG2" s="7">
        <v>32.064999999999998</v>
      </c>
      <c r="AH2" s="7">
        <v>14.0067</v>
      </c>
      <c r="AI2" s="7">
        <v>10.81</v>
      </c>
      <c r="AJ2" s="7">
        <v>54.938043999999998</v>
      </c>
      <c r="AK2" s="7">
        <v>26.981539999999999</v>
      </c>
      <c r="AL2" s="7">
        <v>51.996099999999998</v>
      </c>
      <c r="AM2" s="7">
        <v>95.95</v>
      </c>
      <c r="AN2">
        <v>47.866999999999997</v>
      </c>
      <c r="AO2">
        <v>50.941499999999998</v>
      </c>
      <c r="AP2">
        <v>92.906369999999995</v>
      </c>
      <c r="AQ2">
        <v>183.84</v>
      </c>
      <c r="AR2">
        <v>180.94788</v>
      </c>
      <c r="AS2">
        <v>91.224000000000004</v>
      </c>
      <c r="AT2">
        <v>58.933194999999998</v>
      </c>
      <c r="AU2">
        <v>24.305</v>
      </c>
      <c r="AV2" s="7">
        <v>121.76</v>
      </c>
      <c r="AW2" s="7">
        <v>207.2</v>
      </c>
      <c r="AX2" s="7">
        <v>118.71</v>
      </c>
    </row>
    <row r="3" spans="1:50" ht="18.75" x14ac:dyDescent="0.3">
      <c r="A3" s="36">
        <f>100*((((A2)*(Z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100</v>
      </c>
      <c r="B3" s="36">
        <f>100*((((B2)*(AA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C3" s="36">
        <f>100*((((C2)*(AB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D3" s="36">
        <f>100*((((D2)*(AC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E3" s="36">
        <f>100*((((E2)*(AD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F3" s="36">
        <f>100*((((F2)*(AE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G3" s="36">
        <f>100*((((G2)*(AF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H3" s="36">
        <f>100*((((H2)*(AG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I3" s="36">
        <f>100*((((I2)*(AH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J3" s="36">
        <f>100*((((J2)*(AI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K3" s="36">
        <f>100*((((K2)*(AJ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L3" s="36">
        <f>100*((((L2)*(AK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M3" s="36">
        <f>100*((((M2)*(AL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N3" s="36">
        <f>100*((((N2)*(AM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W2))+((X2)/(AW2))+((Y2)/(AX2)))))</f>
        <v>0</v>
      </c>
      <c r="P3" s="36">
        <f>100*((((P2)*(AO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Q3" s="36">
        <f>100*((((Q2)*(AP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R3" s="36">
        <f>100*((((R2)*(AQ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S3" s="36">
        <f>100*((((S2)*(AR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T3" s="36">
        <f>100*((((T2)*(AS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U3" s="36">
        <f>100*((((U2)*(AT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V3" s="36">
        <f>100*((((V2)*(AU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W3" s="7">
        <f>100*((((W2)*(AV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X3" s="7">
        <f>100*((((X2)*(AW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Y3" s="7">
        <f>100*((((Y2)*(AX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Z3" s="68">
        <v>55.84</v>
      </c>
      <c r="AA3" s="7">
        <v>95.94</v>
      </c>
      <c r="AB3" s="7">
        <v>183.85</v>
      </c>
      <c r="AC3" s="7">
        <v>58.933199999999999</v>
      </c>
      <c r="AD3" s="7">
        <v>63.54</v>
      </c>
      <c r="AE3" s="7">
        <v>12.01</v>
      </c>
      <c r="AF3" s="7">
        <v>28.085000000000001</v>
      </c>
      <c r="AG3" s="7">
        <v>47.88</v>
      </c>
      <c r="AH3" s="7">
        <v>58.692999999999998</v>
      </c>
      <c r="AI3" s="7">
        <v>51.99</v>
      </c>
      <c r="AJ3" s="7">
        <v>54.93</v>
      </c>
      <c r="AK3" s="7">
        <v>92.9</v>
      </c>
      <c r="AL3" s="7">
        <v>14.0067</v>
      </c>
      <c r="AM3" s="7">
        <v>26.981539999999999</v>
      </c>
    </row>
    <row r="4" spans="1:50" ht="15.75" x14ac:dyDescent="0.25">
      <c r="A4" s="8"/>
      <c r="B4" s="9"/>
    </row>
  </sheetData>
  <pageMargins left="0.7" right="0.7" top="0.78740157499999996" bottom="0.78740157499999996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33DF0-B8D6-482E-979C-F006C2E238B8}">
  <dimension ref="A1:Z29"/>
  <sheetViews>
    <sheetView workbookViewId="0">
      <selection activeCell="M13" sqref="M13"/>
    </sheetView>
  </sheetViews>
  <sheetFormatPr baseColWidth="10" defaultRowHeight="15" x14ac:dyDescent="0.25"/>
  <cols>
    <col min="2" max="2" width="17.28515625" customWidth="1"/>
    <col min="3" max="3" width="23.140625" customWidth="1"/>
    <col min="4" max="4" width="11.5703125" bestFit="1" customWidth="1"/>
    <col min="5" max="5" width="13" bestFit="1" customWidth="1"/>
    <col min="6" max="8" width="11.5703125" bestFit="1" customWidth="1"/>
    <col min="9" max="9" width="13.5703125" customWidth="1"/>
    <col min="10" max="11" width="11.5703125" bestFit="1" customWidth="1"/>
    <col min="12" max="13" width="20.28515625" bestFit="1" customWidth="1"/>
    <col min="14" max="14" width="11.5703125" bestFit="1" customWidth="1"/>
    <col min="15" max="15" width="20.28515625" bestFit="1" customWidth="1"/>
    <col min="16" max="17" width="12.140625" bestFit="1" customWidth="1"/>
  </cols>
  <sheetData>
    <row r="1" spans="1:26" ht="18" x14ac:dyDescent="0.25">
      <c r="A1" s="34"/>
      <c r="B1" s="38"/>
      <c r="C1" s="3"/>
      <c r="D1" s="3"/>
      <c r="E1" s="39"/>
      <c r="F1" s="1"/>
      <c r="G1" s="40"/>
      <c r="H1" s="3"/>
      <c r="I1" s="3"/>
      <c r="J1" s="12"/>
      <c r="K1" s="39"/>
      <c r="L1" s="3"/>
      <c r="M1" s="3"/>
      <c r="N1" s="3"/>
      <c r="O1" s="3"/>
    </row>
    <row r="2" spans="1:26" ht="15.75" x14ac:dyDescent="0.25">
      <c r="B2" s="3">
        <f>C2+D2+E2+F2+G2+H2+I2+J2+K2+L2+M2+N2+O2</f>
        <v>19.365608550000001</v>
      </c>
      <c r="C2" s="64">
        <f>C4+D4+E4+F4+G4+H4+I4</f>
        <v>19.19866455</v>
      </c>
      <c r="D2" s="64"/>
      <c r="E2" s="3"/>
      <c r="F2" s="3"/>
      <c r="G2" s="3"/>
      <c r="H2" s="26"/>
      <c r="I2" s="3"/>
      <c r="J2" s="26">
        <f>J4</f>
        <v>8.3472000000000005E-2</v>
      </c>
      <c r="K2" s="4">
        <f>K4+L4+M4+N4+O4</f>
        <v>8.3472000000000005E-2</v>
      </c>
      <c r="L2" s="64"/>
      <c r="M2" s="4"/>
      <c r="N2" s="65"/>
      <c r="O2" s="26"/>
      <c r="P2" s="4"/>
    </row>
    <row r="3" spans="1:26" ht="26.25" x14ac:dyDescent="0.4">
      <c r="A3" s="38"/>
      <c r="B3" s="70" t="s">
        <v>14</v>
      </c>
      <c r="C3" s="70" t="s">
        <v>56</v>
      </c>
      <c r="D3" s="70" t="s">
        <v>15</v>
      </c>
      <c r="E3" s="70" t="s">
        <v>8</v>
      </c>
      <c r="F3" s="70" t="s">
        <v>9</v>
      </c>
      <c r="G3" s="70" t="s">
        <v>57</v>
      </c>
      <c r="H3" s="70" t="s">
        <v>58</v>
      </c>
      <c r="I3" s="70" t="s">
        <v>77</v>
      </c>
      <c r="J3" s="70" t="s">
        <v>13</v>
      </c>
      <c r="K3" s="70" t="s">
        <v>16</v>
      </c>
      <c r="L3" s="70" t="s">
        <v>55</v>
      </c>
      <c r="M3" s="70" t="s">
        <v>44</v>
      </c>
      <c r="N3" s="70" t="s">
        <v>10</v>
      </c>
      <c r="O3" s="70" t="s">
        <v>12</v>
      </c>
      <c r="P3" s="71" t="s">
        <v>80</v>
      </c>
      <c r="Q3" s="71" t="s">
        <v>81</v>
      </c>
      <c r="R3" s="71" t="s">
        <v>82</v>
      </c>
      <c r="S3" s="71" t="s">
        <v>83</v>
      </c>
      <c r="T3" s="33" t="s">
        <v>45</v>
      </c>
      <c r="U3" s="33" t="s">
        <v>17</v>
      </c>
      <c r="V3" s="33" t="s">
        <v>84</v>
      </c>
      <c r="W3" s="33" t="s">
        <v>0</v>
      </c>
      <c r="X3" s="33" t="s">
        <v>11</v>
      </c>
      <c r="Y3" s="33" t="s">
        <v>10</v>
      </c>
      <c r="Z3" s="33" t="s">
        <v>46</v>
      </c>
    </row>
    <row r="4" spans="1:26" ht="23.25" x14ac:dyDescent="0.35">
      <c r="A4" s="38"/>
      <c r="B4" s="70">
        <f>100-C4-D4-E4-F4-G4-H4-I4-J4-K4-L4-M4-N4-O4</f>
        <v>80.63439145000001</v>
      </c>
      <c r="C4" s="71">
        <v>15.358931549999999</v>
      </c>
      <c r="D4" s="71">
        <v>3.8397329999999998</v>
      </c>
      <c r="E4" s="71"/>
      <c r="F4" s="71"/>
      <c r="G4" s="72"/>
      <c r="H4" s="72"/>
      <c r="I4" s="72"/>
      <c r="J4" s="71">
        <v>8.3472000000000005E-2</v>
      </c>
      <c r="K4" s="71">
        <v>8.3472000000000005E-2</v>
      </c>
      <c r="L4" s="72"/>
      <c r="M4" s="71"/>
      <c r="N4" s="72"/>
      <c r="O4" s="72"/>
      <c r="P4" s="71"/>
      <c r="Q4" s="71"/>
      <c r="R4" s="71"/>
      <c r="S4" s="71"/>
    </row>
    <row r="5" spans="1:26" ht="23.25" x14ac:dyDescent="0.35">
      <c r="A5" s="38"/>
      <c r="B5" s="70" t="s">
        <v>87</v>
      </c>
      <c r="C5" s="73">
        <f>B4/C4</f>
        <v>5.2500000529008162</v>
      </c>
      <c r="D5" s="73">
        <f>B4/D4</f>
        <v>20.999999596326102</v>
      </c>
      <c r="E5" s="73" t="e">
        <f>B4/E4</f>
        <v>#DIV/0!</v>
      </c>
      <c r="F5" s="73" t="e">
        <f>B4/F4</f>
        <v>#DIV/0!</v>
      </c>
      <c r="G5" s="74" t="e">
        <f>B4/G4</f>
        <v>#DIV/0!</v>
      </c>
      <c r="H5" s="74" t="e">
        <f>B4/H4</f>
        <v>#DIV/0!</v>
      </c>
      <c r="I5" s="74" t="e">
        <f>B4/I4</f>
        <v>#DIV/0!</v>
      </c>
      <c r="J5" s="75">
        <f>B4/J4</f>
        <v>966.00526463963968</v>
      </c>
      <c r="K5" s="75">
        <f>B4/K4</f>
        <v>966.00526463963968</v>
      </c>
      <c r="L5" s="75" t="e">
        <f>B4/L4</f>
        <v>#DIV/0!</v>
      </c>
      <c r="M5" s="75" t="e">
        <f>B4/M4</f>
        <v>#DIV/0!</v>
      </c>
      <c r="N5" s="75" t="e">
        <f>B4/N4</f>
        <v>#DIV/0!</v>
      </c>
      <c r="O5" s="75" t="e">
        <f>B4/O4</f>
        <v>#DIV/0!</v>
      </c>
      <c r="P5" s="71" t="e">
        <f>B4/P4</f>
        <v>#DIV/0!</v>
      </c>
      <c r="Q5" s="71"/>
      <c r="R5" s="71"/>
      <c r="S5" s="71"/>
    </row>
    <row r="6" spans="1:26" ht="23.25" x14ac:dyDescent="0.35">
      <c r="B6" s="71"/>
      <c r="C6" s="71">
        <f>599*B4/100/C5</f>
        <v>91.999999984499993</v>
      </c>
      <c r="D6" s="71">
        <f>599*B4/100/D5</f>
        <v>23.000000669999999</v>
      </c>
      <c r="E6" s="71" t="e">
        <f>599*B4/100/E5</f>
        <v>#DIV/0!</v>
      </c>
      <c r="F6" s="71" t="e">
        <f>599*B4/100/F5</f>
        <v>#DIV/0!</v>
      </c>
      <c r="G6" s="71" t="e">
        <f>599*B4/100/G5</f>
        <v>#DIV/0!</v>
      </c>
      <c r="H6" s="71" t="e">
        <f>599*B4/100/H5</f>
        <v>#DIV/0!</v>
      </c>
      <c r="I6" s="71" t="e">
        <f>599*B4/100/I5</f>
        <v>#DIV/0!</v>
      </c>
      <c r="J6" s="71">
        <f>599*B4/100/J5</f>
        <v>0.49999728000000004</v>
      </c>
      <c r="K6" s="71">
        <f>599*B4/100/K5</f>
        <v>0.49999728000000004</v>
      </c>
      <c r="L6" s="71" t="e">
        <f>599*B4/100/L5</f>
        <v>#DIV/0!</v>
      </c>
      <c r="M6" s="71" t="e">
        <f>599*B4/100/M5</f>
        <v>#DIV/0!</v>
      </c>
      <c r="N6" s="71" t="e">
        <f>599*B4/100/N5</f>
        <v>#DIV/0!</v>
      </c>
      <c r="O6" s="71" t="e">
        <f>599*B4/100/O5</f>
        <v>#DIV/0!</v>
      </c>
      <c r="P6" s="71" t="e">
        <f>599*N4/100/P5</f>
        <v>#DIV/0!</v>
      </c>
      <c r="Q6" s="71" t="e">
        <f>599*P4/100/Q5</f>
        <v>#DIV/0!</v>
      </c>
      <c r="R6" s="71"/>
      <c r="S6" s="71"/>
    </row>
    <row r="7" spans="1:26" ht="23.25" x14ac:dyDescent="0.35">
      <c r="A7" s="42"/>
      <c r="B7" s="71" t="s">
        <v>88</v>
      </c>
      <c r="C7" s="76">
        <f>C4+E4+F4</f>
        <v>15.358931549999999</v>
      </c>
      <c r="D7" s="77"/>
      <c r="E7" s="77" t="e">
        <f>C6+F6+E6</f>
        <v>#DIV/0!</v>
      </c>
      <c r="F7" s="77"/>
      <c r="G7" s="77">
        <v>92</v>
      </c>
      <c r="H7" s="77"/>
      <c r="I7" s="77"/>
      <c r="J7" s="77" t="e">
        <f>J6+O6</f>
        <v>#DIV/0!</v>
      </c>
      <c r="K7" s="77"/>
      <c r="L7" s="77"/>
      <c r="M7" s="77"/>
      <c r="N7" s="77"/>
      <c r="O7" s="77"/>
      <c r="P7" s="77"/>
      <c r="Q7" s="71"/>
      <c r="R7" s="71"/>
      <c r="S7" s="71"/>
    </row>
    <row r="8" spans="1:26" ht="23.25" x14ac:dyDescent="0.35">
      <c r="A8" s="45"/>
      <c r="B8" s="78" t="s">
        <v>89</v>
      </c>
      <c r="C8" s="79">
        <f>K4+M4</f>
        <v>8.3472000000000005E-2</v>
      </c>
      <c r="D8" s="71"/>
      <c r="E8" s="80" t="e">
        <f>K6+M6</f>
        <v>#DIV/0!</v>
      </c>
      <c r="F8" s="71"/>
      <c r="G8" s="71">
        <v>0.5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26" ht="23.25" x14ac:dyDescent="0.35">
      <c r="A9" s="42"/>
      <c r="B9" s="71" t="s">
        <v>13</v>
      </c>
      <c r="C9" s="71">
        <f>J4</f>
        <v>8.3472000000000005E-2</v>
      </c>
      <c r="D9" s="71"/>
      <c r="E9" s="71">
        <f>J6</f>
        <v>0.49999728000000004</v>
      </c>
      <c r="F9" s="71"/>
      <c r="G9" s="71">
        <v>0.5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26" ht="23.25" x14ac:dyDescent="0.35">
      <c r="B10" s="71" t="s">
        <v>15</v>
      </c>
      <c r="C10" s="89">
        <f>D4</f>
        <v>3.8397329999999998</v>
      </c>
      <c r="D10" s="89"/>
      <c r="E10" s="89">
        <f>D6</f>
        <v>23.000000669999999</v>
      </c>
      <c r="F10" s="89"/>
      <c r="G10" s="89">
        <v>23</v>
      </c>
      <c r="N10" s="71"/>
      <c r="O10" s="71"/>
      <c r="P10" s="71"/>
      <c r="Q10" s="71"/>
      <c r="R10" s="71"/>
      <c r="S10" s="71"/>
    </row>
    <row r="11" spans="1:26" ht="23.25" x14ac:dyDescent="0.35">
      <c r="C11" s="89"/>
      <c r="D11" s="89"/>
      <c r="E11" s="89" t="e">
        <f>E7+E8+E9+E10</f>
        <v>#DIV/0!</v>
      </c>
      <c r="F11" s="89"/>
      <c r="G11" s="123">
        <f>G7+G8+G9+G10</f>
        <v>116</v>
      </c>
      <c r="N11" s="71"/>
      <c r="O11" s="71"/>
      <c r="P11" s="71"/>
      <c r="Q11" s="71"/>
      <c r="R11" s="71"/>
      <c r="S11" s="71"/>
    </row>
    <row r="12" spans="1:26" ht="23.25" x14ac:dyDescent="0.35">
      <c r="N12" s="71"/>
      <c r="O12" s="71"/>
      <c r="P12" s="71"/>
      <c r="Q12" s="71"/>
      <c r="R12" s="71"/>
      <c r="S12" s="71"/>
    </row>
    <row r="13" spans="1:26" ht="23.25" x14ac:dyDescent="0.35">
      <c r="N13" s="71"/>
      <c r="O13" s="71"/>
      <c r="P13" s="71"/>
      <c r="Q13" s="71"/>
      <c r="R13" s="71"/>
      <c r="S13" s="71"/>
    </row>
    <row r="14" spans="1:26" ht="23.25" x14ac:dyDescent="0.35">
      <c r="N14" s="71"/>
      <c r="O14" s="71"/>
      <c r="P14" s="71"/>
      <c r="Q14" s="71"/>
      <c r="R14" s="71"/>
      <c r="S14" s="71"/>
    </row>
    <row r="15" spans="1:26" ht="23.25" x14ac:dyDescent="0.35">
      <c r="N15" s="71"/>
      <c r="O15" s="71"/>
      <c r="P15" s="71"/>
      <c r="Q15" s="71"/>
      <c r="R15" s="71"/>
      <c r="S15" s="71"/>
    </row>
    <row r="16" spans="1:26" ht="23.25" x14ac:dyDescent="0.35">
      <c r="A16" s="42"/>
      <c r="B16" s="71">
        <v>92</v>
      </c>
      <c r="C16" s="81">
        <f>B16*100/599</f>
        <v>15.358931552587647</v>
      </c>
      <c r="D16" s="71">
        <v>94.49</v>
      </c>
      <c r="E16" s="83"/>
      <c r="F16" s="71">
        <v>7</v>
      </c>
      <c r="G16" s="81">
        <f t="shared" ref="G16:G18" si="0">F16*100/599</f>
        <v>1.1686143572621035</v>
      </c>
      <c r="H16" s="71"/>
      <c r="I16" s="71" t="s">
        <v>72</v>
      </c>
      <c r="J16" s="84"/>
      <c r="K16" s="71" t="s">
        <v>73</v>
      </c>
      <c r="L16" s="71"/>
      <c r="M16" s="71"/>
      <c r="N16" s="71"/>
      <c r="O16" s="71"/>
      <c r="P16" s="71"/>
      <c r="Q16" s="71"/>
      <c r="R16" s="71"/>
      <c r="S16" s="71"/>
    </row>
    <row r="17" spans="1:19" ht="23.25" x14ac:dyDescent="0.35">
      <c r="A17" s="42"/>
      <c r="B17" s="71">
        <v>0.5</v>
      </c>
      <c r="C17" s="81">
        <f t="shared" ref="C17:C18" si="1">B17*100/599</f>
        <v>8.347245409015025E-2</v>
      </c>
      <c r="D17" s="71">
        <v>95.82</v>
      </c>
      <c r="E17" s="83"/>
      <c r="F17" s="71">
        <v>8</v>
      </c>
      <c r="G17" s="81">
        <f t="shared" si="0"/>
        <v>1.335559265442404</v>
      </c>
      <c r="H17" s="71"/>
      <c r="I17" s="85" t="s">
        <v>74</v>
      </c>
      <c r="J17" s="71"/>
      <c r="K17" s="86" t="s">
        <v>75</v>
      </c>
      <c r="L17" s="71"/>
      <c r="M17" s="77"/>
      <c r="N17" s="71"/>
      <c r="O17" s="71"/>
      <c r="P17" s="71"/>
      <c r="Q17" s="71"/>
      <c r="R17" s="71"/>
      <c r="S17" s="71"/>
    </row>
    <row r="18" spans="1:19" ht="23.25" x14ac:dyDescent="0.35">
      <c r="A18" s="42"/>
      <c r="B18" s="71">
        <v>23</v>
      </c>
      <c r="C18" s="81">
        <f t="shared" si="1"/>
        <v>3.8397328881469117</v>
      </c>
      <c r="D18" s="71">
        <v>89.48</v>
      </c>
      <c r="E18" s="83" t="s">
        <v>42</v>
      </c>
      <c r="F18" s="71">
        <v>9</v>
      </c>
      <c r="G18" s="81">
        <f t="shared" si="0"/>
        <v>1.5025041736227045</v>
      </c>
      <c r="H18" s="71"/>
      <c r="I18" s="71" t="s">
        <v>76</v>
      </c>
      <c r="J18" s="84"/>
      <c r="K18" s="71"/>
      <c r="L18" s="71"/>
      <c r="M18" s="71"/>
      <c r="N18" s="71"/>
      <c r="O18" s="71"/>
      <c r="P18" s="71"/>
      <c r="Q18" s="71"/>
      <c r="R18" s="71"/>
      <c r="S18" s="71"/>
    </row>
    <row r="19" spans="1:19" ht="23.25" x14ac:dyDescent="0.35">
      <c r="A19" s="29"/>
      <c r="B19" s="70"/>
      <c r="C19" s="71"/>
      <c r="D19" s="82"/>
      <c r="E19" s="71"/>
      <c r="F19" s="81"/>
      <c r="G19" s="71"/>
      <c r="H19" s="87"/>
      <c r="I19" s="78"/>
      <c r="J19" s="81"/>
      <c r="K19" s="75"/>
      <c r="L19" s="75"/>
      <c r="M19" s="75"/>
      <c r="N19" s="75"/>
      <c r="O19" s="75"/>
      <c r="P19" s="75"/>
      <c r="Q19" s="75"/>
      <c r="R19" s="71"/>
      <c r="S19" s="71"/>
    </row>
    <row r="20" spans="1:19" ht="23.25" x14ac:dyDescent="0.35">
      <c r="A20" s="2"/>
      <c r="B20" s="70"/>
      <c r="C20" s="70"/>
      <c r="D20" s="70"/>
      <c r="E20" s="88"/>
      <c r="F20" s="88"/>
      <c r="G20" s="70"/>
      <c r="H20" s="70"/>
      <c r="I20" s="70"/>
      <c r="J20" s="70"/>
      <c r="K20" s="70"/>
      <c r="L20" s="88"/>
      <c r="M20" s="70"/>
      <c r="N20" s="88"/>
      <c r="O20" s="70"/>
      <c r="P20" s="70"/>
      <c r="Q20" s="70"/>
      <c r="R20" s="71"/>
      <c r="S20" s="71"/>
    </row>
    <row r="21" spans="1:19" ht="23.25" x14ac:dyDescent="0.35">
      <c r="A21" s="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0"/>
      <c r="P21" s="70"/>
      <c r="Q21" s="70"/>
      <c r="R21" s="71"/>
      <c r="S21" s="71"/>
    </row>
    <row r="22" spans="1:19" ht="23.25" x14ac:dyDescent="0.35">
      <c r="A22" s="3"/>
      <c r="B22" s="73"/>
      <c r="C22" s="73"/>
      <c r="D22" s="73"/>
      <c r="E22" s="73"/>
      <c r="F22" s="74"/>
      <c r="G22" s="74"/>
      <c r="H22" s="74"/>
      <c r="I22" s="75"/>
      <c r="J22" s="75"/>
      <c r="K22" s="75"/>
      <c r="L22" s="75"/>
      <c r="M22" s="75"/>
      <c r="N22" s="75"/>
      <c r="O22" s="88"/>
      <c r="P22" s="70"/>
      <c r="Q22" s="70"/>
      <c r="R22" s="71"/>
      <c r="S22" s="71"/>
    </row>
    <row r="23" spans="1:19" ht="23.25" x14ac:dyDescent="0.35"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0"/>
      <c r="P23" s="70"/>
      <c r="Q23" s="70"/>
      <c r="R23" s="71"/>
      <c r="S23" s="71"/>
    </row>
    <row r="24" spans="1:19" ht="23.25" x14ac:dyDescent="0.35">
      <c r="B24" s="71" t="s">
        <v>6</v>
      </c>
      <c r="C24" s="71" t="s">
        <v>53</v>
      </c>
      <c r="D24" s="71" t="s">
        <v>52</v>
      </c>
      <c r="E24" s="71" t="s">
        <v>1</v>
      </c>
      <c r="F24" s="71" t="s">
        <v>47</v>
      </c>
      <c r="G24" s="71" t="s">
        <v>54</v>
      </c>
      <c r="H24" s="71" t="s">
        <v>4</v>
      </c>
      <c r="I24" s="71" t="s">
        <v>49</v>
      </c>
      <c r="J24" s="71" t="s">
        <v>2</v>
      </c>
      <c r="K24" s="71" t="s">
        <v>3</v>
      </c>
      <c r="L24" s="71" t="s">
        <v>48</v>
      </c>
      <c r="M24" s="71" t="s">
        <v>85</v>
      </c>
      <c r="N24" s="71" t="s">
        <v>5</v>
      </c>
      <c r="O24" s="71" t="s">
        <v>86</v>
      </c>
      <c r="P24" s="71"/>
      <c r="Q24" s="71"/>
      <c r="R24" s="71"/>
      <c r="S24" s="71"/>
    </row>
    <row r="25" spans="1:19" ht="23.25" x14ac:dyDescent="0.35">
      <c r="B25" s="71">
        <v>93.774999999999991</v>
      </c>
      <c r="C25" s="71"/>
      <c r="D25" s="71"/>
      <c r="E25" s="71"/>
      <c r="F25" s="71">
        <v>2.5000000000000001E-2</v>
      </c>
      <c r="G25" s="71">
        <v>3.85</v>
      </c>
      <c r="H25" s="71">
        <v>2.2000000000000002</v>
      </c>
      <c r="I25" s="71"/>
      <c r="J25" s="71">
        <v>0.01</v>
      </c>
      <c r="K25" s="71">
        <v>2.5000000000000001E-2</v>
      </c>
      <c r="L25" s="71">
        <v>7.0000000000000007E-2</v>
      </c>
      <c r="M25" s="71"/>
      <c r="N25" s="71">
        <v>4.4999999999999998E-2</v>
      </c>
      <c r="O25" s="71"/>
      <c r="P25" s="71"/>
      <c r="Q25" s="71"/>
      <c r="R25" s="71"/>
      <c r="S25" s="71"/>
    </row>
    <row r="26" spans="1:19" ht="23.25" x14ac:dyDescent="0.35">
      <c r="B26" s="71">
        <v>80.644157300439971</v>
      </c>
      <c r="C26" s="71">
        <v>0</v>
      </c>
      <c r="D26" s="71">
        <v>0</v>
      </c>
      <c r="E26" s="71">
        <v>0</v>
      </c>
      <c r="F26" s="71">
        <v>1.8894005743496499E-2</v>
      </c>
      <c r="G26" s="71">
        <v>15.393910844382363</v>
      </c>
      <c r="H26" s="71">
        <v>3.7616596401949636</v>
      </c>
      <c r="I26" s="71">
        <v>0</v>
      </c>
      <c r="J26" s="71">
        <v>8.1817260998195175E-3</v>
      </c>
      <c r="K26" s="71">
        <v>2.3091462299322321E-2</v>
      </c>
      <c r="L26" s="71">
        <v>6.1195527941688498E-2</v>
      </c>
      <c r="M26" s="71">
        <v>0</v>
      </c>
      <c r="N26" s="71">
        <v>8.8909492898382264E-2</v>
      </c>
      <c r="O26" s="71">
        <v>0</v>
      </c>
      <c r="P26" s="71"/>
      <c r="Q26" s="71"/>
      <c r="R26" s="71"/>
      <c r="S26" s="71"/>
    </row>
    <row r="27" spans="1:19" ht="23.25" x14ac:dyDescent="0.35"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</row>
    <row r="28" spans="1:19" ht="23.25" x14ac:dyDescent="0.35"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</row>
    <row r="29" spans="1:19" ht="23.25" x14ac:dyDescent="0.35"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</row>
  </sheetData>
  <pageMargins left="0.7" right="0.7" top="0.78740157499999996" bottom="0.78740157499999996" header="0.3" footer="0.3"/>
  <pageSetup paperSize="9" orientation="portrait" verticalDpi="597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6293A-7C33-4F50-986A-D982D7795365}">
  <dimension ref="A1:Z29"/>
  <sheetViews>
    <sheetView workbookViewId="0">
      <selection activeCell="C4" sqref="C4:P4"/>
    </sheetView>
  </sheetViews>
  <sheetFormatPr baseColWidth="10" defaultRowHeight="15" x14ac:dyDescent="0.25"/>
  <cols>
    <col min="2" max="2" width="17.28515625" customWidth="1"/>
    <col min="3" max="3" width="23.140625" customWidth="1"/>
    <col min="4" max="4" width="11.5703125" bestFit="1" customWidth="1"/>
    <col min="5" max="5" width="13" bestFit="1" customWidth="1"/>
    <col min="6" max="8" width="11.5703125" bestFit="1" customWidth="1"/>
    <col min="9" max="9" width="13.5703125" customWidth="1"/>
    <col min="10" max="11" width="11.5703125" bestFit="1" customWidth="1"/>
    <col min="12" max="13" width="20.28515625" bestFit="1" customWidth="1"/>
    <col min="14" max="14" width="11.5703125" bestFit="1" customWidth="1"/>
    <col min="15" max="15" width="20.28515625" bestFit="1" customWidth="1"/>
    <col min="16" max="17" width="12.140625" bestFit="1" customWidth="1"/>
  </cols>
  <sheetData>
    <row r="1" spans="1:26" ht="18" x14ac:dyDescent="0.25">
      <c r="A1" s="34"/>
      <c r="B1" s="38"/>
      <c r="C1" s="3"/>
      <c r="D1" s="3"/>
      <c r="E1" s="39"/>
      <c r="F1" s="1"/>
      <c r="G1" s="40"/>
      <c r="H1" s="3"/>
      <c r="I1" s="3"/>
      <c r="J1" s="12"/>
      <c r="K1" s="39"/>
      <c r="L1" s="3"/>
      <c r="M1" s="3"/>
      <c r="N1" s="3"/>
      <c r="O1" s="3"/>
    </row>
    <row r="2" spans="1:26" ht="15.75" x14ac:dyDescent="0.25">
      <c r="B2" s="3">
        <f>C2+D2+E2+F2+G2+H2+I2+J2+K2+L2+M2+N2+O2</f>
        <v>19.699498370000001</v>
      </c>
      <c r="C2" s="64">
        <f>C4+D4+E4+F4+G4+H4+I4</f>
        <v>19.53255437</v>
      </c>
      <c r="D2" s="64"/>
      <c r="E2" s="3"/>
      <c r="F2" s="3"/>
      <c r="G2" s="3"/>
      <c r="H2" s="26"/>
      <c r="I2" s="3"/>
      <c r="J2" s="26">
        <f>J4</f>
        <v>8.3472000000000005E-2</v>
      </c>
      <c r="K2" s="4">
        <f>K4+L4+M4+N4+O4</f>
        <v>8.3472000000000005E-2</v>
      </c>
      <c r="L2" s="64"/>
      <c r="M2" s="4"/>
      <c r="N2" s="65"/>
      <c r="O2" s="26"/>
      <c r="P2" s="4"/>
    </row>
    <row r="3" spans="1:26" ht="26.25" x14ac:dyDescent="0.4">
      <c r="A3" s="38"/>
      <c r="B3" s="70" t="s">
        <v>14</v>
      </c>
      <c r="C3" s="70" t="s">
        <v>56</v>
      </c>
      <c r="D3" s="70" t="s">
        <v>15</v>
      </c>
      <c r="E3" s="70" t="s">
        <v>8</v>
      </c>
      <c r="F3" s="70" t="s">
        <v>9</v>
      </c>
      <c r="G3" s="70" t="s">
        <v>57</v>
      </c>
      <c r="H3" s="70" t="s">
        <v>58</v>
      </c>
      <c r="I3" s="70" t="s">
        <v>77</v>
      </c>
      <c r="J3" s="70" t="s">
        <v>13</v>
      </c>
      <c r="K3" s="70" t="s">
        <v>16</v>
      </c>
      <c r="L3" s="70" t="s">
        <v>55</v>
      </c>
      <c r="M3" s="70" t="s">
        <v>44</v>
      </c>
      <c r="N3" s="70" t="s">
        <v>10</v>
      </c>
      <c r="O3" s="70" t="s">
        <v>12</v>
      </c>
      <c r="P3" s="71" t="s">
        <v>80</v>
      </c>
      <c r="Q3" s="71" t="s">
        <v>81</v>
      </c>
      <c r="R3" s="71" t="s">
        <v>82</v>
      </c>
      <c r="S3" s="71" t="s">
        <v>83</v>
      </c>
      <c r="T3" s="33" t="s">
        <v>45</v>
      </c>
      <c r="U3" s="33" t="s">
        <v>17</v>
      </c>
      <c r="V3" s="33" t="s">
        <v>84</v>
      </c>
      <c r="W3" s="33" t="s">
        <v>0</v>
      </c>
      <c r="X3" s="33" t="s">
        <v>11</v>
      </c>
      <c r="Y3" s="33" t="s">
        <v>10</v>
      </c>
      <c r="Z3" s="33" t="s">
        <v>46</v>
      </c>
    </row>
    <row r="4" spans="1:26" ht="23.25" x14ac:dyDescent="0.35">
      <c r="A4" s="38"/>
      <c r="B4" s="70">
        <f>100-C4-D4-E4-F4-G4-H4-I4-J4-K4-L4-M4-N4-O4</f>
        <v>80.300501629999999</v>
      </c>
      <c r="C4" s="71">
        <v>15.692821370000001</v>
      </c>
      <c r="D4" s="71">
        <v>3.8397329999999998</v>
      </c>
      <c r="E4" s="71"/>
      <c r="F4" s="71"/>
      <c r="G4" s="72"/>
      <c r="H4" s="72"/>
      <c r="I4" s="72"/>
      <c r="J4" s="71">
        <v>8.3472000000000005E-2</v>
      </c>
      <c r="K4" s="71">
        <v>8.3472000000000005E-2</v>
      </c>
      <c r="L4" s="72"/>
      <c r="M4" s="71"/>
      <c r="N4" s="72"/>
      <c r="O4" s="72"/>
      <c r="P4" s="71"/>
      <c r="Q4" s="71"/>
      <c r="R4" s="71"/>
      <c r="S4" s="71"/>
    </row>
    <row r="5" spans="1:26" ht="23.25" x14ac:dyDescent="0.35">
      <c r="A5" s="38"/>
      <c r="B5" s="70" t="s">
        <v>87</v>
      </c>
      <c r="C5" s="73">
        <f>B4/C4</f>
        <v>5.1170213269304545</v>
      </c>
      <c r="D5" s="73">
        <f>B4/D4</f>
        <v>20.913043076172226</v>
      </c>
      <c r="E5" s="73" t="e">
        <f>B4/E4</f>
        <v>#DIV/0!</v>
      </c>
      <c r="F5" s="73" t="e">
        <f>B4/F4</f>
        <v>#DIV/0!</v>
      </c>
      <c r="G5" s="74" t="e">
        <f>B4/G4</f>
        <v>#DIV/0!</v>
      </c>
      <c r="H5" s="74" t="e">
        <f>B4/H4</f>
        <v>#DIV/0!</v>
      </c>
      <c r="I5" s="74" t="e">
        <f>B4/I4</f>
        <v>#DIV/0!</v>
      </c>
      <c r="J5" s="75">
        <f>B4/J4</f>
        <v>962.00524283592097</v>
      </c>
      <c r="K5" s="75">
        <f>B4/K4</f>
        <v>962.00524283592097</v>
      </c>
      <c r="L5" s="75" t="e">
        <f>B4/L4</f>
        <v>#DIV/0!</v>
      </c>
      <c r="M5" s="75" t="e">
        <f>B4/M4</f>
        <v>#DIV/0!</v>
      </c>
      <c r="N5" s="75" t="e">
        <f>B4/N4</f>
        <v>#DIV/0!</v>
      </c>
      <c r="O5" s="75" t="e">
        <f>B4/O4</f>
        <v>#DIV/0!</v>
      </c>
      <c r="P5" s="71" t="e">
        <f>B4/P4</f>
        <v>#DIV/0!</v>
      </c>
      <c r="Q5" s="71"/>
      <c r="R5" s="71"/>
      <c r="S5" s="71"/>
    </row>
    <row r="6" spans="1:26" ht="23.25" x14ac:dyDescent="0.35">
      <c r="B6" s="71"/>
      <c r="C6" s="71">
        <f>599*B4/100/C5</f>
        <v>94.000000006299999</v>
      </c>
      <c r="D6" s="71">
        <f>599*B4/100/D5</f>
        <v>23.000000669999995</v>
      </c>
      <c r="E6" s="71" t="e">
        <f>599*B4/100/E5</f>
        <v>#DIV/0!</v>
      </c>
      <c r="F6" s="71" t="e">
        <f>599*B4/100/F5</f>
        <v>#DIV/0!</v>
      </c>
      <c r="G6" s="71" t="e">
        <f>599*B4/100/G5</f>
        <v>#DIV/0!</v>
      </c>
      <c r="H6" s="71" t="e">
        <f>599*B4/100/H5</f>
        <v>#DIV/0!</v>
      </c>
      <c r="I6" s="71" t="e">
        <f>599*B4/100/I5</f>
        <v>#DIV/0!</v>
      </c>
      <c r="J6" s="71">
        <f>599*B4/100/J5</f>
        <v>0.49999727999999999</v>
      </c>
      <c r="K6" s="71">
        <f>599*B4/100/K5</f>
        <v>0.49999727999999999</v>
      </c>
      <c r="L6" s="71" t="e">
        <f>599*B4/100/L5</f>
        <v>#DIV/0!</v>
      </c>
      <c r="M6" s="71" t="e">
        <f>599*B4/100/M5</f>
        <v>#DIV/0!</v>
      </c>
      <c r="N6" s="71" t="e">
        <f>599*B4/100/N5</f>
        <v>#DIV/0!</v>
      </c>
      <c r="O6" s="71" t="e">
        <f>599*B4/100/O5</f>
        <v>#DIV/0!</v>
      </c>
      <c r="P6" s="71" t="e">
        <f>599*N4/100/P5</f>
        <v>#DIV/0!</v>
      </c>
      <c r="Q6" s="71" t="e">
        <f>599*P4/100/Q5</f>
        <v>#DIV/0!</v>
      </c>
      <c r="R6" s="71"/>
      <c r="S6" s="71"/>
    </row>
    <row r="7" spans="1:26" ht="23.25" x14ac:dyDescent="0.35">
      <c r="A7" s="42"/>
      <c r="B7" s="71" t="s">
        <v>88</v>
      </c>
      <c r="C7" s="76">
        <f>C4+E4+F4</f>
        <v>15.692821370000001</v>
      </c>
      <c r="D7" s="77"/>
      <c r="E7" s="77" t="e">
        <f>C6+F6+E6</f>
        <v>#DIV/0!</v>
      </c>
      <c r="F7" s="77"/>
      <c r="G7" s="77">
        <v>94</v>
      </c>
      <c r="H7" s="77"/>
      <c r="I7" s="77"/>
      <c r="J7" s="77" t="e">
        <f>J6+O6</f>
        <v>#DIV/0!</v>
      </c>
      <c r="K7" s="77"/>
      <c r="L7" s="77"/>
      <c r="M7" s="77"/>
      <c r="N7" s="77"/>
      <c r="O7" s="77"/>
      <c r="P7" s="77"/>
      <c r="Q7" s="71"/>
      <c r="R7" s="71"/>
      <c r="S7" s="71"/>
    </row>
    <row r="8" spans="1:26" ht="23.25" x14ac:dyDescent="0.35">
      <c r="A8" s="45"/>
      <c r="B8" s="78" t="s">
        <v>89</v>
      </c>
      <c r="C8" s="79">
        <f>K4+M4</f>
        <v>8.3472000000000005E-2</v>
      </c>
      <c r="D8" s="71"/>
      <c r="E8" s="80" t="e">
        <f>K6+M6</f>
        <v>#DIV/0!</v>
      </c>
      <c r="F8" s="71"/>
      <c r="G8" s="71">
        <v>0.5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26" ht="23.25" x14ac:dyDescent="0.35">
      <c r="A9" s="42"/>
      <c r="B9" s="71" t="s">
        <v>13</v>
      </c>
      <c r="C9" s="71">
        <f>J4</f>
        <v>8.3472000000000005E-2</v>
      </c>
      <c r="D9" s="71"/>
      <c r="E9" s="71">
        <f>J6</f>
        <v>0.49999727999999999</v>
      </c>
      <c r="F9" s="71"/>
      <c r="G9" s="71">
        <v>0.5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26" ht="23.25" x14ac:dyDescent="0.35">
      <c r="B10" s="71" t="s">
        <v>15</v>
      </c>
      <c r="C10" s="89">
        <f>D4</f>
        <v>3.8397329999999998</v>
      </c>
      <c r="D10" s="89"/>
      <c r="E10" s="89">
        <f>D6</f>
        <v>23.000000669999995</v>
      </c>
      <c r="F10" s="89"/>
      <c r="G10" s="89">
        <v>23</v>
      </c>
      <c r="N10" s="71"/>
      <c r="O10" s="71"/>
      <c r="P10" s="71"/>
      <c r="Q10" s="71"/>
      <c r="R10" s="71"/>
      <c r="S10" s="71"/>
    </row>
    <row r="11" spans="1:26" ht="23.25" x14ac:dyDescent="0.35">
      <c r="C11" s="89"/>
      <c r="D11" s="89"/>
      <c r="E11" s="89" t="e">
        <f>E7+E8+E9+E10</f>
        <v>#DIV/0!</v>
      </c>
      <c r="F11" s="89"/>
      <c r="G11" s="89">
        <f>G7+G8+G9+G10</f>
        <v>118</v>
      </c>
      <c r="N11" s="71"/>
      <c r="O11" s="71"/>
      <c r="P11" s="71"/>
      <c r="Q11" s="71"/>
      <c r="R11" s="71"/>
      <c r="S11" s="71"/>
    </row>
    <row r="12" spans="1:26" ht="23.25" x14ac:dyDescent="0.35">
      <c r="N12" s="71"/>
      <c r="O12" s="71"/>
      <c r="P12" s="71"/>
      <c r="Q12" s="71"/>
      <c r="R12" s="71"/>
      <c r="S12" s="71"/>
    </row>
    <row r="13" spans="1:26" ht="23.25" x14ac:dyDescent="0.35">
      <c r="N13" s="71"/>
      <c r="O13" s="71"/>
      <c r="P13" s="71"/>
      <c r="Q13" s="71"/>
      <c r="R13" s="71"/>
      <c r="S13" s="71"/>
    </row>
    <row r="14" spans="1:26" ht="23.25" x14ac:dyDescent="0.35">
      <c r="N14" s="71"/>
      <c r="O14" s="71"/>
      <c r="P14" s="71"/>
      <c r="Q14" s="71"/>
      <c r="R14" s="71"/>
      <c r="S14" s="71"/>
    </row>
    <row r="15" spans="1:26" ht="23.25" x14ac:dyDescent="0.35">
      <c r="N15" s="71"/>
      <c r="O15" s="71"/>
      <c r="P15" s="71"/>
      <c r="Q15" s="71"/>
      <c r="R15" s="71"/>
      <c r="S15" s="71"/>
    </row>
    <row r="16" spans="1:26" ht="23.25" x14ac:dyDescent="0.35">
      <c r="A16" s="42"/>
      <c r="B16" s="71">
        <v>96</v>
      </c>
      <c r="C16" s="81">
        <f>B16*100/599</f>
        <v>16.026711185308848</v>
      </c>
      <c r="D16" s="71">
        <v>94.49</v>
      </c>
      <c r="E16" s="83"/>
      <c r="F16" s="71">
        <v>7</v>
      </c>
      <c r="G16" s="81">
        <f t="shared" ref="G16:G18" si="0">F16*100/599</f>
        <v>1.1686143572621035</v>
      </c>
      <c r="H16" s="71"/>
      <c r="I16" s="71" t="s">
        <v>72</v>
      </c>
      <c r="J16" s="84"/>
      <c r="K16" s="71" t="s">
        <v>73</v>
      </c>
      <c r="L16" s="71"/>
      <c r="M16" s="71"/>
      <c r="N16" s="71"/>
      <c r="O16" s="71"/>
      <c r="P16" s="71"/>
      <c r="Q16" s="71"/>
      <c r="R16" s="71"/>
      <c r="S16" s="71"/>
    </row>
    <row r="17" spans="1:19" ht="23.25" x14ac:dyDescent="0.35">
      <c r="A17" s="42"/>
      <c r="B17" s="71">
        <v>0.5</v>
      </c>
      <c r="C17" s="81">
        <f t="shared" ref="C17:C18" si="1">B17*100/599</f>
        <v>8.347245409015025E-2</v>
      </c>
      <c r="D17" s="71">
        <v>95.82</v>
      </c>
      <c r="E17" s="83"/>
      <c r="F17" s="71">
        <v>8</v>
      </c>
      <c r="G17" s="81">
        <f t="shared" si="0"/>
        <v>1.335559265442404</v>
      </c>
      <c r="H17" s="71"/>
      <c r="I17" s="85" t="s">
        <v>74</v>
      </c>
      <c r="J17" s="71"/>
      <c r="K17" s="86" t="s">
        <v>75</v>
      </c>
      <c r="L17" s="71"/>
      <c r="M17" s="77"/>
      <c r="N17" s="71"/>
      <c r="O17" s="71"/>
      <c r="P17" s="71"/>
      <c r="Q17" s="71"/>
      <c r="R17" s="71"/>
      <c r="S17" s="71"/>
    </row>
    <row r="18" spans="1:19" ht="23.25" x14ac:dyDescent="0.35">
      <c r="A18" s="42"/>
      <c r="B18" s="71">
        <v>23</v>
      </c>
      <c r="C18" s="81">
        <f t="shared" si="1"/>
        <v>3.8397328881469117</v>
      </c>
      <c r="D18" s="71">
        <v>89.48</v>
      </c>
      <c r="E18" s="83" t="s">
        <v>42</v>
      </c>
      <c r="F18" s="71">
        <v>9</v>
      </c>
      <c r="G18" s="81">
        <f t="shared" si="0"/>
        <v>1.5025041736227045</v>
      </c>
      <c r="H18" s="71"/>
      <c r="I18" s="71" t="s">
        <v>76</v>
      </c>
      <c r="J18" s="84"/>
      <c r="K18" s="71"/>
      <c r="L18" s="71"/>
      <c r="M18" s="71"/>
      <c r="N18" s="71"/>
      <c r="O18" s="71"/>
      <c r="P18" s="71"/>
      <c r="Q18" s="71"/>
      <c r="R18" s="71"/>
      <c r="S18" s="71"/>
    </row>
    <row r="19" spans="1:19" ht="23.25" x14ac:dyDescent="0.35">
      <c r="A19" s="29"/>
      <c r="B19" s="70"/>
      <c r="C19" s="71"/>
      <c r="D19" s="82"/>
      <c r="E19" s="71"/>
      <c r="F19" s="81"/>
      <c r="G19" s="71"/>
      <c r="H19" s="87"/>
      <c r="I19" s="78"/>
      <c r="J19" s="81"/>
      <c r="K19" s="75"/>
      <c r="L19" s="75"/>
      <c r="M19" s="75"/>
      <c r="N19" s="75"/>
      <c r="O19" s="75"/>
      <c r="P19" s="75"/>
      <c r="Q19" s="75"/>
      <c r="R19" s="71"/>
      <c r="S19" s="71"/>
    </row>
    <row r="20" spans="1:19" ht="23.25" x14ac:dyDescent="0.35">
      <c r="A20" s="2"/>
      <c r="B20" s="70"/>
      <c r="C20" s="70"/>
      <c r="D20" s="70"/>
      <c r="E20" s="88"/>
      <c r="F20" s="88"/>
      <c r="G20" s="70"/>
      <c r="H20" s="70"/>
      <c r="I20" s="70"/>
      <c r="J20" s="70"/>
      <c r="K20" s="70"/>
      <c r="L20" s="88"/>
      <c r="M20" s="70"/>
      <c r="N20" s="88"/>
      <c r="O20" s="70"/>
      <c r="P20" s="70"/>
      <c r="Q20" s="70"/>
      <c r="R20" s="71"/>
      <c r="S20" s="71"/>
    </row>
    <row r="21" spans="1:19" ht="23.25" x14ac:dyDescent="0.35">
      <c r="A21" s="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0"/>
      <c r="P21" s="70"/>
      <c r="Q21" s="70"/>
      <c r="R21" s="71"/>
      <c r="S21" s="71"/>
    </row>
    <row r="22" spans="1:19" ht="23.25" x14ac:dyDescent="0.35">
      <c r="A22" s="3"/>
      <c r="B22" s="73"/>
      <c r="C22" s="73"/>
      <c r="D22" s="73"/>
      <c r="E22" s="73"/>
      <c r="F22" s="74"/>
      <c r="G22" s="74"/>
      <c r="H22" s="74"/>
      <c r="I22" s="75"/>
      <c r="J22" s="75"/>
      <c r="K22" s="75"/>
      <c r="L22" s="75"/>
      <c r="M22" s="75"/>
      <c r="N22" s="75"/>
      <c r="O22" s="88"/>
      <c r="P22" s="70"/>
      <c r="Q22" s="70"/>
      <c r="R22" s="71"/>
      <c r="S22" s="71"/>
    </row>
    <row r="23" spans="1:19" ht="23.25" x14ac:dyDescent="0.35"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0"/>
      <c r="P23" s="70"/>
      <c r="Q23" s="70"/>
      <c r="R23" s="71"/>
      <c r="S23" s="71"/>
    </row>
    <row r="24" spans="1:19" ht="23.25" x14ac:dyDescent="0.35">
      <c r="B24" s="71" t="s">
        <v>6</v>
      </c>
      <c r="C24" s="71" t="s">
        <v>53</v>
      </c>
      <c r="D24" s="71" t="s">
        <v>52</v>
      </c>
      <c r="E24" s="71" t="s">
        <v>1</v>
      </c>
      <c r="F24" s="71" t="s">
        <v>47</v>
      </c>
      <c r="G24" s="71" t="s">
        <v>54</v>
      </c>
      <c r="H24" s="71" t="s">
        <v>4</v>
      </c>
      <c r="I24" s="71" t="s">
        <v>49</v>
      </c>
      <c r="J24" s="71" t="s">
        <v>2</v>
      </c>
      <c r="K24" s="71" t="s">
        <v>3</v>
      </c>
      <c r="L24" s="71" t="s">
        <v>48</v>
      </c>
      <c r="M24" s="71" t="s">
        <v>85</v>
      </c>
      <c r="N24" s="71" t="s">
        <v>5</v>
      </c>
      <c r="O24" s="71" t="s">
        <v>86</v>
      </c>
      <c r="P24" s="71"/>
      <c r="Q24" s="71"/>
      <c r="R24" s="71"/>
      <c r="S24" s="71"/>
    </row>
    <row r="25" spans="1:19" ht="23.25" x14ac:dyDescent="0.35">
      <c r="B25" s="71">
        <v>93.774999999999991</v>
      </c>
      <c r="C25" s="71"/>
      <c r="D25" s="71"/>
      <c r="E25" s="71"/>
      <c r="F25" s="71">
        <v>2.5000000000000001E-2</v>
      </c>
      <c r="G25" s="71">
        <v>3.85</v>
      </c>
      <c r="H25" s="71">
        <v>2.2000000000000002</v>
      </c>
      <c r="I25" s="71"/>
      <c r="J25" s="71">
        <v>0.01</v>
      </c>
      <c r="K25" s="71">
        <v>2.5000000000000001E-2</v>
      </c>
      <c r="L25" s="71">
        <v>7.0000000000000007E-2</v>
      </c>
      <c r="M25" s="71"/>
      <c r="N25" s="71">
        <v>4.4999999999999998E-2</v>
      </c>
      <c r="O25" s="71"/>
      <c r="P25" s="71"/>
      <c r="Q25" s="71"/>
      <c r="R25" s="71"/>
      <c r="S25" s="71"/>
    </row>
    <row r="26" spans="1:19" ht="23.25" x14ac:dyDescent="0.35">
      <c r="B26" s="71">
        <v>80.644157300439971</v>
      </c>
      <c r="C26" s="71">
        <v>0</v>
      </c>
      <c r="D26" s="71">
        <v>0</v>
      </c>
      <c r="E26" s="71">
        <v>0</v>
      </c>
      <c r="F26" s="71">
        <v>1.8894005743496499E-2</v>
      </c>
      <c r="G26" s="71">
        <v>15.393910844382363</v>
      </c>
      <c r="H26" s="71">
        <v>3.7616596401949636</v>
      </c>
      <c r="I26" s="71">
        <v>0</v>
      </c>
      <c r="J26" s="71">
        <v>8.1817260998195175E-3</v>
      </c>
      <c r="K26" s="71">
        <v>2.3091462299322321E-2</v>
      </c>
      <c r="L26" s="71">
        <v>6.1195527941688498E-2</v>
      </c>
      <c r="M26" s="71">
        <v>0</v>
      </c>
      <c r="N26" s="71">
        <v>8.8909492898382264E-2</v>
      </c>
      <c r="O26" s="71">
        <v>0</v>
      </c>
      <c r="P26" s="71"/>
      <c r="Q26" s="71"/>
      <c r="R26" s="71"/>
      <c r="S26" s="71"/>
    </row>
    <row r="27" spans="1:19" ht="23.25" x14ac:dyDescent="0.35"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</row>
    <row r="28" spans="1:19" ht="23.25" x14ac:dyDescent="0.35"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</row>
    <row r="29" spans="1:19" ht="23.25" x14ac:dyDescent="0.35"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</row>
  </sheetData>
  <pageMargins left="0.7" right="0.7" top="0.78740157499999996" bottom="0.78740157499999996" header="0.3" footer="0.3"/>
  <pageSetup paperSize="9" orientation="portrait" verticalDpi="597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95696-A04C-430F-B9CA-73B3C9CEE1C4}">
  <dimension ref="A1:Z29"/>
  <sheetViews>
    <sheetView workbookViewId="0">
      <selection activeCell="C4" sqref="C4:S4"/>
    </sheetView>
  </sheetViews>
  <sheetFormatPr baseColWidth="10" defaultRowHeight="15" x14ac:dyDescent="0.25"/>
  <cols>
    <col min="2" max="2" width="17.28515625" customWidth="1"/>
    <col min="3" max="3" width="23.140625" customWidth="1"/>
    <col min="4" max="4" width="11.5703125" bestFit="1" customWidth="1"/>
    <col min="5" max="5" width="13" bestFit="1" customWidth="1"/>
    <col min="6" max="8" width="11.5703125" bestFit="1" customWidth="1"/>
    <col min="9" max="9" width="13.5703125" customWidth="1"/>
    <col min="10" max="11" width="11.5703125" bestFit="1" customWidth="1"/>
    <col min="12" max="13" width="20.28515625" bestFit="1" customWidth="1"/>
    <col min="14" max="14" width="11.5703125" bestFit="1" customWidth="1"/>
    <col min="15" max="15" width="20.28515625" bestFit="1" customWidth="1"/>
    <col min="16" max="17" width="12.140625" bestFit="1" customWidth="1"/>
  </cols>
  <sheetData>
    <row r="1" spans="1:26" ht="18" x14ac:dyDescent="0.25">
      <c r="A1" s="34"/>
      <c r="B1" s="38"/>
      <c r="C1" s="3"/>
      <c r="D1" s="3"/>
      <c r="E1" s="39"/>
      <c r="F1" s="1"/>
      <c r="G1" s="40"/>
      <c r="H1" s="3"/>
      <c r="I1" s="3"/>
      <c r="J1" s="12"/>
      <c r="K1" s="39"/>
      <c r="L1" s="3"/>
      <c r="M1" s="3"/>
      <c r="N1" s="3"/>
      <c r="O1" s="3"/>
    </row>
    <row r="2" spans="1:26" ht="15.75" x14ac:dyDescent="0.25">
      <c r="B2" s="3">
        <f>C2+D2+E2+F2+G2+H2+I2+J2+K2+L2+M2+N2+O2</f>
        <v>20.0333881</v>
      </c>
      <c r="C2" s="64">
        <f>C4+D4+E4+F4+G4+H4+I4</f>
        <v>19.866444099999999</v>
      </c>
      <c r="D2" s="64"/>
      <c r="E2" s="3"/>
      <c r="F2" s="3"/>
      <c r="G2" s="3"/>
      <c r="H2" s="26"/>
      <c r="I2" s="3"/>
      <c r="J2" s="26">
        <f>J4</f>
        <v>8.3472000000000005E-2</v>
      </c>
      <c r="K2" s="4">
        <f>K4+L4+M4+N4+O4</f>
        <v>8.3472000000000005E-2</v>
      </c>
      <c r="L2" s="64"/>
      <c r="M2" s="4"/>
      <c r="N2" s="65"/>
      <c r="O2" s="26"/>
      <c r="P2" s="4"/>
    </row>
    <row r="3" spans="1:26" ht="26.25" x14ac:dyDescent="0.4">
      <c r="A3" s="38"/>
      <c r="B3" s="70" t="s">
        <v>14</v>
      </c>
      <c r="C3" s="70" t="s">
        <v>56</v>
      </c>
      <c r="D3" s="70" t="s">
        <v>15</v>
      </c>
      <c r="E3" s="70" t="s">
        <v>8</v>
      </c>
      <c r="F3" s="70" t="s">
        <v>9</v>
      </c>
      <c r="G3" s="70" t="s">
        <v>57</v>
      </c>
      <c r="H3" s="70" t="s">
        <v>58</v>
      </c>
      <c r="I3" s="70" t="s">
        <v>77</v>
      </c>
      <c r="J3" s="70" t="s">
        <v>13</v>
      </c>
      <c r="K3" s="70" t="s">
        <v>16</v>
      </c>
      <c r="L3" s="70" t="s">
        <v>55</v>
      </c>
      <c r="M3" s="70" t="s">
        <v>44</v>
      </c>
      <c r="N3" s="70" t="s">
        <v>10</v>
      </c>
      <c r="O3" s="70" t="s">
        <v>12</v>
      </c>
      <c r="P3" s="71" t="s">
        <v>80</v>
      </c>
      <c r="Q3" s="71" t="s">
        <v>81</v>
      </c>
      <c r="R3" s="71" t="s">
        <v>82</v>
      </c>
      <c r="S3" s="71" t="s">
        <v>83</v>
      </c>
      <c r="T3" s="33" t="s">
        <v>45</v>
      </c>
      <c r="U3" s="33" t="s">
        <v>17</v>
      </c>
      <c r="V3" s="33" t="s">
        <v>84</v>
      </c>
      <c r="W3" s="33" t="s">
        <v>0</v>
      </c>
      <c r="X3" s="33" t="s">
        <v>11</v>
      </c>
      <c r="Y3" s="33" t="s">
        <v>10</v>
      </c>
      <c r="Z3" s="33" t="s">
        <v>46</v>
      </c>
    </row>
    <row r="4" spans="1:26" ht="23.25" x14ac:dyDescent="0.35">
      <c r="A4" s="38"/>
      <c r="B4" s="70">
        <f>100-C4-D4-E4-F4-G4-H4-I4-J4-K4-L4-M4-N4-O4</f>
        <v>79.966611900000004</v>
      </c>
      <c r="C4" s="71">
        <v>16.0267111</v>
      </c>
      <c r="D4" s="71">
        <v>3.8397329999999998</v>
      </c>
      <c r="E4" s="71"/>
      <c r="F4" s="71"/>
      <c r="G4" s="72"/>
      <c r="H4" s="72"/>
      <c r="I4" s="72"/>
      <c r="J4" s="71">
        <v>8.3472000000000005E-2</v>
      </c>
      <c r="K4" s="71">
        <v>8.3472000000000005E-2</v>
      </c>
      <c r="L4" s="72"/>
      <c r="M4" s="71"/>
      <c r="N4" s="72"/>
      <c r="O4" s="72"/>
      <c r="P4" s="71"/>
      <c r="Q4" s="71"/>
      <c r="R4" s="71"/>
      <c r="S4" s="71"/>
    </row>
    <row r="5" spans="1:26" ht="23.25" x14ac:dyDescent="0.35">
      <c r="A5" s="38"/>
      <c r="B5" s="70" t="s">
        <v>87</v>
      </c>
      <c r="C5" s="73">
        <f>B4/C4</f>
        <v>4.9895834149028868</v>
      </c>
      <c r="D5" s="73">
        <f>B4/D4</f>
        <v>20.826086579457481</v>
      </c>
      <c r="E5" s="73" t="e">
        <f>B4/E4</f>
        <v>#DIV/0!</v>
      </c>
      <c r="F5" s="73" t="e">
        <f>B4/F4</f>
        <v>#DIV/0!</v>
      </c>
      <c r="G5" s="74" t="e">
        <f>B4/G4</f>
        <v>#DIV/0!</v>
      </c>
      <c r="H5" s="74" t="e">
        <f>B4/H4</f>
        <v>#DIV/0!</v>
      </c>
      <c r="I5" s="74" t="e">
        <f>B4/I4</f>
        <v>#DIV/0!</v>
      </c>
      <c r="J5" s="75">
        <f>B4/J4</f>
        <v>958.00522211040823</v>
      </c>
      <c r="K5" s="75">
        <f>B4/K4</f>
        <v>958.00522211040823</v>
      </c>
      <c r="L5" s="75" t="e">
        <f>B4/L4</f>
        <v>#DIV/0!</v>
      </c>
      <c r="M5" s="75" t="e">
        <f>B4/M4</f>
        <v>#DIV/0!</v>
      </c>
      <c r="N5" s="75" t="e">
        <f>B4/N4</f>
        <v>#DIV/0!</v>
      </c>
      <c r="O5" s="75" t="e">
        <f>B4/O4</f>
        <v>#DIV/0!</v>
      </c>
      <c r="P5" s="71" t="e">
        <f>B4/P4</f>
        <v>#DIV/0!</v>
      </c>
      <c r="Q5" s="71"/>
      <c r="R5" s="71"/>
      <c r="S5" s="71"/>
    </row>
    <row r="6" spans="1:26" ht="23.25" x14ac:dyDescent="0.35">
      <c r="B6" s="71"/>
      <c r="C6" s="71">
        <f>599*B4/100/C5</f>
        <v>95.999999489000004</v>
      </c>
      <c r="D6" s="71">
        <f>599*B4/100/D5</f>
        <v>23.000000669999999</v>
      </c>
      <c r="E6" s="71" t="e">
        <f>599*B4/100/E5</f>
        <v>#DIV/0!</v>
      </c>
      <c r="F6" s="71" t="e">
        <f>599*B4/100/F5</f>
        <v>#DIV/0!</v>
      </c>
      <c r="G6" s="71" t="e">
        <f>599*B4/100/G5</f>
        <v>#DIV/0!</v>
      </c>
      <c r="H6" s="71" t="e">
        <f>599*B4/100/H5</f>
        <v>#DIV/0!</v>
      </c>
      <c r="I6" s="71" t="e">
        <f>599*B4/100/I5</f>
        <v>#DIV/0!</v>
      </c>
      <c r="J6" s="71">
        <f>599*B4/100/J5</f>
        <v>0.49999728000000004</v>
      </c>
      <c r="K6" s="71">
        <f>599*B4/100/K5</f>
        <v>0.49999728000000004</v>
      </c>
      <c r="L6" s="71" t="e">
        <f>599*B4/100/L5</f>
        <v>#DIV/0!</v>
      </c>
      <c r="M6" s="71" t="e">
        <f>599*B4/100/M5</f>
        <v>#DIV/0!</v>
      </c>
      <c r="N6" s="71" t="e">
        <f>599*B4/100/N5</f>
        <v>#DIV/0!</v>
      </c>
      <c r="O6" s="71" t="e">
        <f>599*B4/100/O5</f>
        <v>#DIV/0!</v>
      </c>
      <c r="P6" s="71" t="e">
        <f>599*N4/100/P5</f>
        <v>#DIV/0!</v>
      </c>
      <c r="Q6" s="71" t="e">
        <f>599*P4/100/Q5</f>
        <v>#DIV/0!</v>
      </c>
      <c r="R6" s="71"/>
      <c r="S6" s="71"/>
    </row>
    <row r="7" spans="1:26" ht="23.25" x14ac:dyDescent="0.35">
      <c r="A7" s="42"/>
      <c r="B7" s="71" t="s">
        <v>88</v>
      </c>
      <c r="C7" s="76">
        <f>C4+E4+F4</f>
        <v>16.0267111</v>
      </c>
      <c r="D7" s="77"/>
      <c r="E7" s="77" t="e">
        <f>C6+F6+E6</f>
        <v>#DIV/0!</v>
      </c>
      <c r="F7" s="77"/>
      <c r="G7" s="77">
        <v>94</v>
      </c>
      <c r="H7" s="77"/>
      <c r="I7" s="77"/>
      <c r="J7" s="77" t="e">
        <f>J6+O6</f>
        <v>#DIV/0!</v>
      </c>
      <c r="K7" s="77"/>
      <c r="L7" s="77"/>
      <c r="M7" s="77"/>
      <c r="N7" s="77"/>
      <c r="O7" s="77"/>
      <c r="P7" s="77"/>
      <c r="Q7" s="71"/>
      <c r="R7" s="71"/>
      <c r="S7" s="71"/>
    </row>
    <row r="8" spans="1:26" ht="23.25" x14ac:dyDescent="0.35">
      <c r="A8" s="45"/>
      <c r="B8" s="78" t="s">
        <v>89</v>
      </c>
      <c r="C8" s="79">
        <f>K4+M4</f>
        <v>8.3472000000000005E-2</v>
      </c>
      <c r="D8" s="71"/>
      <c r="E8" s="80" t="e">
        <f>K6+M6</f>
        <v>#DIV/0!</v>
      </c>
      <c r="F8" s="71"/>
      <c r="G8" s="71">
        <v>0.5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26" ht="23.25" x14ac:dyDescent="0.35">
      <c r="A9" s="42"/>
      <c r="B9" s="71" t="s">
        <v>13</v>
      </c>
      <c r="C9" s="71">
        <f>J4</f>
        <v>8.3472000000000005E-2</v>
      </c>
      <c r="D9" s="71"/>
      <c r="E9" s="71">
        <f>J6</f>
        <v>0.49999728000000004</v>
      </c>
      <c r="F9" s="71"/>
      <c r="G9" s="71">
        <v>0.5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26" ht="23.25" x14ac:dyDescent="0.35">
      <c r="B10" s="71" t="s">
        <v>15</v>
      </c>
      <c r="C10" s="89">
        <f>D4</f>
        <v>3.8397329999999998</v>
      </c>
      <c r="D10" s="89"/>
      <c r="E10" s="89">
        <f>D6</f>
        <v>23.000000669999999</v>
      </c>
      <c r="F10" s="89"/>
      <c r="G10" s="89">
        <v>23</v>
      </c>
      <c r="N10" s="71"/>
      <c r="O10" s="71"/>
      <c r="P10" s="71"/>
      <c r="Q10" s="71"/>
      <c r="R10" s="71"/>
      <c r="S10" s="71"/>
    </row>
    <row r="11" spans="1:26" ht="23.25" x14ac:dyDescent="0.35">
      <c r="C11" s="89"/>
      <c r="D11" s="89"/>
      <c r="E11" s="89" t="e">
        <f>E7+E8+E9+E10</f>
        <v>#DIV/0!</v>
      </c>
      <c r="F11" s="89"/>
      <c r="G11" s="89">
        <f>G7+G8+G9+G10</f>
        <v>118</v>
      </c>
      <c r="N11" s="71"/>
      <c r="O11" s="71"/>
      <c r="P11" s="71"/>
      <c r="Q11" s="71"/>
      <c r="R11" s="71"/>
      <c r="S11" s="71"/>
    </row>
    <row r="12" spans="1:26" ht="23.25" x14ac:dyDescent="0.35">
      <c r="N12" s="71"/>
      <c r="O12" s="71"/>
      <c r="P12" s="71"/>
      <c r="Q12" s="71"/>
      <c r="R12" s="71"/>
      <c r="S12" s="71"/>
    </row>
    <row r="13" spans="1:26" ht="23.25" x14ac:dyDescent="0.35">
      <c r="N13" s="71"/>
      <c r="O13" s="71"/>
      <c r="P13" s="71"/>
      <c r="Q13" s="71"/>
      <c r="R13" s="71"/>
      <c r="S13" s="71"/>
    </row>
    <row r="14" spans="1:26" ht="23.25" x14ac:dyDescent="0.35">
      <c r="N14" s="71"/>
      <c r="O14" s="71"/>
      <c r="P14" s="71"/>
      <c r="Q14" s="71"/>
      <c r="R14" s="71"/>
      <c r="S14" s="71"/>
    </row>
    <row r="15" spans="1:26" ht="23.25" x14ac:dyDescent="0.35">
      <c r="N15" s="71"/>
      <c r="O15" s="71"/>
      <c r="P15" s="71"/>
      <c r="Q15" s="71"/>
      <c r="R15" s="71"/>
      <c r="S15" s="71"/>
    </row>
    <row r="16" spans="1:26" ht="23.25" x14ac:dyDescent="0.35">
      <c r="A16" s="42"/>
      <c r="B16" s="71">
        <v>96</v>
      </c>
      <c r="C16" s="81">
        <f>B16*100/599</f>
        <v>16.026711185308848</v>
      </c>
      <c r="D16" s="71">
        <v>94.49</v>
      </c>
      <c r="E16" s="83"/>
      <c r="F16" s="71">
        <v>7</v>
      </c>
      <c r="G16" s="81">
        <f t="shared" ref="G16:G18" si="0">F16*100/599</f>
        <v>1.1686143572621035</v>
      </c>
      <c r="H16" s="71"/>
      <c r="I16" s="71" t="s">
        <v>72</v>
      </c>
      <c r="J16" s="84"/>
      <c r="K16" s="71" t="s">
        <v>73</v>
      </c>
      <c r="L16" s="71"/>
      <c r="M16" s="71"/>
      <c r="N16" s="71"/>
      <c r="O16" s="71"/>
      <c r="P16" s="71"/>
      <c r="Q16" s="71"/>
      <c r="R16" s="71"/>
      <c r="S16" s="71"/>
    </row>
    <row r="17" spans="1:19" ht="23.25" x14ac:dyDescent="0.35">
      <c r="A17" s="42"/>
      <c r="B17" s="71">
        <v>0.5</v>
      </c>
      <c r="C17" s="81">
        <f t="shared" ref="C17:C18" si="1">B17*100/599</f>
        <v>8.347245409015025E-2</v>
      </c>
      <c r="D17" s="71">
        <v>95.82</v>
      </c>
      <c r="E17" s="83"/>
      <c r="F17" s="71">
        <v>8</v>
      </c>
      <c r="G17" s="81">
        <f t="shared" si="0"/>
        <v>1.335559265442404</v>
      </c>
      <c r="H17" s="71"/>
      <c r="I17" s="85" t="s">
        <v>74</v>
      </c>
      <c r="J17" s="71"/>
      <c r="K17" s="86" t="s">
        <v>75</v>
      </c>
      <c r="L17" s="71"/>
      <c r="M17" s="77"/>
      <c r="N17" s="71"/>
      <c r="O17" s="71"/>
      <c r="P17" s="71"/>
      <c r="Q17" s="71"/>
      <c r="R17" s="71"/>
      <c r="S17" s="71"/>
    </row>
    <row r="18" spans="1:19" ht="23.25" x14ac:dyDescent="0.35">
      <c r="A18" s="42"/>
      <c r="B18" s="71">
        <v>23</v>
      </c>
      <c r="C18" s="81">
        <f t="shared" si="1"/>
        <v>3.8397328881469117</v>
      </c>
      <c r="D18" s="71">
        <v>89.48</v>
      </c>
      <c r="E18" s="83" t="s">
        <v>42</v>
      </c>
      <c r="F18" s="71">
        <v>9</v>
      </c>
      <c r="G18" s="81">
        <f t="shared" si="0"/>
        <v>1.5025041736227045</v>
      </c>
      <c r="H18" s="71"/>
      <c r="I18" s="71" t="s">
        <v>76</v>
      </c>
      <c r="J18" s="84"/>
      <c r="K18" s="71"/>
      <c r="L18" s="71"/>
      <c r="M18" s="71"/>
      <c r="N18" s="71"/>
      <c r="O18" s="71"/>
      <c r="P18" s="71"/>
      <c r="Q18" s="71"/>
      <c r="R18" s="71"/>
      <c r="S18" s="71"/>
    </row>
    <row r="19" spans="1:19" ht="23.25" x14ac:dyDescent="0.35">
      <c r="A19" s="29"/>
      <c r="B19" s="70"/>
      <c r="C19" s="71"/>
      <c r="D19" s="82"/>
      <c r="E19" s="71"/>
      <c r="F19" s="81"/>
      <c r="G19" s="71"/>
      <c r="H19" s="87"/>
      <c r="I19" s="78"/>
      <c r="J19" s="81"/>
      <c r="K19" s="75"/>
      <c r="L19" s="75"/>
      <c r="M19" s="75"/>
      <c r="N19" s="75"/>
      <c r="O19" s="75"/>
      <c r="P19" s="75"/>
      <c r="Q19" s="75"/>
      <c r="R19" s="71"/>
      <c r="S19" s="71"/>
    </row>
    <row r="20" spans="1:19" ht="23.25" x14ac:dyDescent="0.35">
      <c r="A20" s="2"/>
      <c r="B20" s="70"/>
      <c r="C20" s="70"/>
      <c r="D20" s="70"/>
      <c r="E20" s="88"/>
      <c r="F20" s="88"/>
      <c r="G20" s="70"/>
      <c r="H20" s="70"/>
      <c r="I20" s="70"/>
      <c r="J20" s="70"/>
      <c r="K20" s="70"/>
      <c r="L20" s="88"/>
      <c r="M20" s="70"/>
      <c r="N20" s="88"/>
      <c r="O20" s="70"/>
      <c r="P20" s="70"/>
      <c r="Q20" s="70"/>
      <c r="R20" s="71"/>
      <c r="S20" s="71"/>
    </row>
    <row r="21" spans="1:19" ht="23.25" x14ac:dyDescent="0.35">
      <c r="A21" s="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0"/>
      <c r="P21" s="70"/>
      <c r="Q21" s="70"/>
      <c r="R21" s="71"/>
      <c r="S21" s="71"/>
    </row>
    <row r="22" spans="1:19" ht="23.25" x14ac:dyDescent="0.35">
      <c r="A22" s="3"/>
      <c r="B22" s="73"/>
      <c r="C22" s="73"/>
      <c r="D22" s="73"/>
      <c r="E22" s="73"/>
      <c r="F22" s="74"/>
      <c r="G22" s="74"/>
      <c r="H22" s="74"/>
      <c r="I22" s="75"/>
      <c r="J22" s="75"/>
      <c r="K22" s="75"/>
      <c r="L22" s="75"/>
      <c r="M22" s="75"/>
      <c r="N22" s="75"/>
      <c r="O22" s="88"/>
      <c r="P22" s="70"/>
      <c r="Q22" s="70"/>
      <c r="R22" s="71"/>
      <c r="S22" s="71"/>
    </row>
    <row r="23" spans="1:19" ht="23.25" x14ac:dyDescent="0.35"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0"/>
      <c r="P23" s="70"/>
      <c r="Q23" s="70"/>
      <c r="R23" s="71"/>
      <c r="S23" s="71"/>
    </row>
    <row r="24" spans="1:19" ht="23.25" x14ac:dyDescent="0.35">
      <c r="B24" s="71" t="s">
        <v>6</v>
      </c>
      <c r="C24" s="71" t="s">
        <v>53</v>
      </c>
      <c r="D24" s="71" t="s">
        <v>52</v>
      </c>
      <c r="E24" s="71" t="s">
        <v>1</v>
      </c>
      <c r="F24" s="71" t="s">
        <v>47</v>
      </c>
      <c r="G24" s="71" t="s">
        <v>54</v>
      </c>
      <c r="H24" s="71" t="s">
        <v>4</v>
      </c>
      <c r="I24" s="71" t="s">
        <v>49</v>
      </c>
      <c r="J24" s="71" t="s">
        <v>2</v>
      </c>
      <c r="K24" s="71" t="s">
        <v>3</v>
      </c>
      <c r="L24" s="71" t="s">
        <v>48</v>
      </c>
      <c r="M24" s="71" t="s">
        <v>85</v>
      </c>
      <c r="N24" s="71" t="s">
        <v>5</v>
      </c>
      <c r="O24" s="71" t="s">
        <v>86</v>
      </c>
      <c r="P24" s="71"/>
      <c r="Q24" s="71"/>
      <c r="R24" s="71"/>
      <c r="S24" s="71"/>
    </row>
    <row r="25" spans="1:19" ht="23.25" x14ac:dyDescent="0.35">
      <c r="B25" s="71">
        <v>93.774999999999991</v>
      </c>
      <c r="C25" s="71"/>
      <c r="D25" s="71"/>
      <c r="E25" s="71"/>
      <c r="F25" s="71">
        <v>2.5000000000000001E-2</v>
      </c>
      <c r="G25" s="71">
        <v>3.85</v>
      </c>
      <c r="H25" s="71">
        <v>2.2000000000000002</v>
      </c>
      <c r="I25" s="71"/>
      <c r="J25" s="71">
        <v>0.01</v>
      </c>
      <c r="K25" s="71">
        <v>2.5000000000000001E-2</v>
      </c>
      <c r="L25" s="71">
        <v>7.0000000000000007E-2</v>
      </c>
      <c r="M25" s="71"/>
      <c r="N25" s="71">
        <v>4.4999999999999998E-2</v>
      </c>
      <c r="O25" s="71"/>
      <c r="P25" s="71"/>
      <c r="Q25" s="71"/>
      <c r="R25" s="71"/>
      <c r="S25" s="71"/>
    </row>
    <row r="26" spans="1:19" ht="23.25" x14ac:dyDescent="0.35">
      <c r="B26" s="71">
        <v>80.644157300439971</v>
      </c>
      <c r="C26" s="71">
        <v>0</v>
      </c>
      <c r="D26" s="71">
        <v>0</v>
      </c>
      <c r="E26" s="71">
        <v>0</v>
      </c>
      <c r="F26" s="71">
        <v>1.8894005743496499E-2</v>
      </c>
      <c r="G26" s="71">
        <v>15.393910844382363</v>
      </c>
      <c r="H26" s="71">
        <v>3.7616596401949636</v>
      </c>
      <c r="I26" s="71">
        <v>0</v>
      </c>
      <c r="J26" s="71">
        <v>8.1817260998195175E-3</v>
      </c>
      <c r="K26" s="71">
        <v>2.3091462299322321E-2</v>
      </c>
      <c r="L26" s="71">
        <v>6.1195527941688498E-2</v>
      </c>
      <c r="M26" s="71">
        <v>0</v>
      </c>
      <c r="N26" s="71">
        <v>8.8909492898382264E-2</v>
      </c>
      <c r="O26" s="71">
        <v>0</v>
      </c>
      <c r="P26" s="71"/>
      <c r="Q26" s="71"/>
      <c r="R26" s="71"/>
      <c r="S26" s="71"/>
    </row>
    <row r="27" spans="1:19" ht="23.25" x14ac:dyDescent="0.35"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</row>
    <row r="28" spans="1:19" ht="23.25" x14ac:dyDescent="0.35"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</row>
    <row r="29" spans="1:19" ht="23.25" x14ac:dyDescent="0.35"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</row>
  </sheetData>
  <pageMargins left="0.7" right="0.7" top="0.78740157499999996" bottom="0.78740157499999996" header="0.3" footer="0.3"/>
  <pageSetup paperSize="9" orientation="portrait" verticalDpi="597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EFFC-7E65-477D-9A7C-BC07D96954EE}">
  <dimension ref="A1:Z29"/>
  <sheetViews>
    <sheetView workbookViewId="0">
      <selection activeCell="C4" sqref="C4:R4"/>
    </sheetView>
  </sheetViews>
  <sheetFormatPr baseColWidth="10" defaultRowHeight="15" x14ac:dyDescent="0.25"/>
  <cols>
    <col min="2" max="2" width="17.28515625" customWidth="1"/>
    <col min="3" max="3" width="23.140625" customWidth="1"/>
    <col min="4" max="4" width="11.5703125" bestFit="1" customWidth="1"/>
    <col min="5" max="5" width="13" bestFit="1" customWidth="1"/>
    <col min="6" max="8" width="11.5703125" bestFit="1" customWidth="1"/>
    <col min="9" max="9" width="13.5703125" customWidth="1"/>
    <col min="10" max="11" width="11.5703125" bestFit="1" customWidth="1"/>
    <col min="12" max="13" width="20.28515625" bestFit="1" customWidth="1"/>
    <col min="14" max="14" width="11.5703125" bestFit="1" customWidth="1"/>
    <col min="15" max="15" width="20.28515625" bestFit="1" customWidth="1"/>
    <col min="16" max="17" width="12.140625" bestFit="1" customWidth="1"/>
  </cols>
  <sheetData>
    <row r="1" spans="1:26" ht="18" x14ac:dyDescent="0.25">
      <c r="A1" s="34"/>
      <c r="B1" s="38"/>
      <c r="C1" s="3"/>
      <c r="D1" s="3"/>
      <c r="E1" s="39"/>
      <c r="F1" s="1"/>
      <c r="G1" s="40"/>
      <c r="H1" s="3"/>
      <c r="I1" s="3"/>
      <c r="J1" s="12"/>
      <c r="K1" s="39"/>
      <c r="L1" s="3"/>
      <c r="M1" s="3"/>
      <c r="N1" s="3"/>
      <c r="O1" s="3"/>
    </row>
    <row r="2" spans="1:26" ht="15.75" x14ac:dyDescent="0.25">
      <c r="B2" s="3">
        <f>C2+D2+E2+F2+G2+H2+I2+J2+K2+L2+M2+N2+O2</f>
        <v>20.367277999999999</v>
      </c>
      <c r="C2" s="64">
        <f>C4+D4+E4+F4+G4+H4+I4</f>
        <v>20.200333999999998</v>
      </c>
      <c r="D2" s="64"/>
      <c r="E2" s="3"/>
      <c r="F2" s="3"/>
      <c r="G2" s="3"/>
      <c r="H2" s="26"/>
      <c r="I2" s="3"/>
      <c r="J2" s="26">
        <f>J4</f>
        <v>8.3472000000000005E-2</v>
      </c>
      <c r="K2" s="4">
        <f>K4+L4+M4+N4+O4</f>
        <v>8.3472000000000005E-2</v>
      </c>
      <c r="L2" s="64"/>
      <c r="M2" s="4"/>
      <c r="N2" s="65"/>
      <c r="O2" s="26"/>
      <c r="P2" s="4"/>
    </row>
    <row r="3" spans="1:26" ht="26.25" x14ac:dyDescent="0.4">
      <c r="A3" s="38"/>
      <c r="B3" s="70" t="s">
        <v>14</v>
      </c>
      <c r="C3" s="70" t="s">
        <v>56</v>
      </c>
      <c r="D3" s="70" t="s">
        <v>15</v>
      </c>
      <c r="E3" s="70" t="s">
        <v>8</v>
      </c>
      <c r="F3" s="70" t="s">
        <v>9</v>
      </c>
      <c r="G3" s="70" t="s">
        <v>57</v>
      </c>
      <c r="H3" s="70" t="s">
        <v>58</v>
      </c>
      <c r="I3" s="70" t="s">
        <v>77</v>
      </c>
      <c r="J3" s="70" t="s">
        <v>13</v>
      </c>
      <c r="K3" s="70" t="s">
        <v>16</v>
      </c>
      <c r="L3" s="70" t="s">
        <v>55</v>
      </c>
      <c r="M3" s="70" t="s">
        <v>44</v>
      </c>
      <c r="N3" s="70" t="s">
        <v>10</v>
      </c>
      <c r="O3" s="70" t="s">
        <v>12</v>
      </c>
      <c r="P3" s="71" t="s">
        <v>80</v>
      </c>
      <c r="Q3" s="71" t="s">
        <v>81</v>
      </c>
      <c r="R3" s="71" t="s">
        <v>82</v>
      </c>
      <c r="S3" s="71" t="s">
        <v>83</v>
      </c>
      <c r="T3" s="33" t="s">
        <v>45</v>
      </c>
      <c r="U3" s="33" t="s">
        <v>17</v>
      </c>
      <c r="V3" s="33" t="s">
        <v>84</v>
      </c>
      <c r="W3" s="33" t="s">
        <v>0</v>
      </c>
      <c r="X3" s="33" t="s">
        <v>11</v>
      </c>
      <c r="Y3" s="33" t="s">
        <v>10</v>
      </c>
      <c r="Z3" s="33" t="s">
        <v>46</v>
      </c>
    </row>
    <row r="4" spans="1:26" ht="23.25" x14ac:dyDescent="0.35">
      <c r="A4" s="38"/>
      <c r="B4" s="70">
        <f>100-C4-D4-E4-F4-G4-H4-I4-J4-K4-L4-M4-N4-O4</f>
        <v>79.632722000000001</v>
      </c>
      <c r="C4" s="71">
        <v>16.360600999999999</v>
      </c>
      <c r="D4" s="71">
        <v>3.8397329999999998</v>
      </c>
      <c r="E4" s="71"/>
      <c r="F4" s="71"/>
      <c r="G4" s="72"/>
      <c r="H4" s="72"/>
      <c r="I4" s="72"/>
      <c r="J4" s="71">
        <v>8.3472000000000005E-2</v>
      </c>
      <c r="K4" s="71">
        <v>8.3472000000000005E-2</v>
      </c>
      <c r="L4" s="72"/>
      <c r="M4" s="71"/>
      <c r="N4" s="72"/>
      <c r="O4" s="72"/>
      <c r="P4" s="71"/>
      <c r="Q4" s="71"/>
      <c r="R4" s="71"/>
      <c r="S4" s="71"/>
    </row>
    <row r="5" spans="1:26" ht="23.25" x14ac:dyDescent="0.35">
      <c r="A5" s="38"/>
      <c r="B5" s="70" t="s">
        <v>87</v>
      </c>
      <c r="C5" s="73">
        <f>B4/C4</f>
        <v>4.8673469880476885</v>
      </c>
      <c r="D5" s="73">
        <f>B4/D4</f>
        <v>20.739130038468822</v>
      </c>
      <c r="E5" s="73" t="e">
        <f>B4/E4</f>
        <v>#DIV/0!</v>
      </c>
      <c r="F5" s="73" t="e">
        <f>B4/F4</f>
        <v>#DIV/0!</v>
      </c>
      <c r="G5" s="74" t="e">
        <f>B4/G4</f>
        <v>#DIV/0!</v>
      </c>
      <c r="H5" s="74" t="e">
        <f>B4/H4</f>
        <v>#DIV/0!</v>
      </c>
      <c r="I5" s="74" t="e">
        <f>B4/I4</f>
        <v>#DIV/0!</v>
      </c>
      <c r="J5" s="75">
        <f>B4/J4</f>
        <v>954.00519934828446</v>
      </c>
      <c r="K5" s="75">
        <f>B4/K4</f>
        <v>954.00519934828446</v>
      </c>
      <c r="L5" s="75" t="e">
        <f>B4/L4</f>
        <v>#DIV/0!</v>
      </c>
      <c r="M5" s="75" t="e">
        <f>B4/M4</f>
        <v>#DIV/0!</v>
      </c>
      <c r="N5" s="75" t="e">
        <f>B4/N4</f>
        <v>#DIV/0!</v>
      </c>
      <c r="O5" s="75" t="e">
        <f>B4/O4</f>
        <v>#DIV/0!</v>
      </c>
      <c r="P5" s="71" t="e">
        <f>B4/P4</f>
        <v>#DIV/0!</v>
      </c>
      <c r="Q5" s="71"/>
      <c r="R5" s="71"/>
      <c r="S5" s="71"/>
    </row>
    <row r="6" spans="1:26" ht="23.25" x14ac:dyDescent="0.35">
      <c r="B6" s="71"/>
      <c r="C6" s="71">
        <f>599*B4/100/C5</f>
        <v>97.999999990000006</v>
      </c>
      <c r="D6" s="71">
        <f>599*B4/100/D5</f>
        <v>23.000000669999999</v>
      </c>
      <c r="E6" s="71" t="e">
        <f>599*B4/100/E5</f>
        <v>#DIV/0!</v>
      </c>
      <c r="F6" s="71" t="e">
        <f>599*B4/100/F5</f>
        <v>#DIV/0!</v>
      </c>
      <c r="G6" s="71" t="e">
        <f>599*B4/100/G5</f>
        <v>#DIV/0!</v>
      </c>
      <c r="H6" s="71" t="e">
        <f>599*B4/100/H5</f>
        <v>#DIV/0!</v>
      </c>
      <c r="I6" s="71" t="e">
        <f>599*B4/100/I5</f>
        <v>#DIV/0!</v>
      </c>
      <c r="J6" s="71">
        <f>599*B4/100/J5</f>
        <v>0.49999728000000004</v>
      </c>
      <c r="K6" s="71">
        <f>599*B4/100/K5</f>
        <v>0.49999728000000004</v>
      </c>
      <c r="L6" s="71" t="e">
        <f>599*B4/100/L5</f>
        <v>#DIV/0!</v>
      </c>
      <c r="M6" s="71" t="e">
        <f>599*B4/100/M5</f>
        <v>#DIV/0!</v>
      </c>
      <c r="N6" s="71" t="e">
        <f>599*B4/100/N5</f>
        <v>#DIV/0!</v>
      </c>
      <c r="O6" s="71" t="e">
        <f>599*B4/100/O5</f>
        <v>#DIV/0!</v>
      </c>
      <c r="P6" s="71" t="e">
        <f>599*N4/100/P5</f>
        <v>#DIV/0!</v>
      </c>
      <c r="Q6" s="71" t="e">
        <f>599*P4/100/Q5</f>
        <v>#DIV/0!</v>
      </c>
      <c r="R6" s="71"/>
      <c r="S6" s="71"/>
    </row>
    <row r="7" spans="1:26" ht="23.25" x14ac:dyDescent="0.35">
      <c r="A7" s="42"/>
      <c r="B7" s="71" t="s">
        <v>88</v>
      </c>
      <c r="C7" s="76">
        <f>C4+E4+F4</f>
        <v>16.360600999999999</v>
      </c>
      <c r="D7" s="77"/>
      <c r="E7" s="77" t="e">
        <f>C6+F6+E6</f>
        <v>#DIV/0!</v>
      </c>
      <c r="F7" s="77"/>
      <c r="G7" s="77">
        <v>94</v>
      </c>
      <c r="H7" s="77"/>
      <c r="I7" s="77"/>
      <c r="J7" s="77" t="e">
        <f>J6+O6</f>
        <v>#DIV/0!</v>
      </c>
      <c r="K7" s="77"/>
      <c r="L7" s="77"/>
      <c r="M7" s="77"/>
      <c r="N7" s="77"/>
      <c r="O7" s="77"/>
      <c r="P7" s="77"/>
      <c r="Q7" s="71"/>
      <c r="R7" s="71"/>
      <c r="S7" s="71"/>
    </row>
    <row r="8" spans="1:26" ht="23.25" x14ac:dyDescent="0.35">
      <c r="A8" s="45"/>
      <c r="B8" s="78" t="s">
        <v>89</v>
      </c>
      <c r="C8" s="79">
        <f>K4+M4</f>
        <v>8.3472000000000005E-2</v>
      </c>
      <c r="D8" s="71"/>
      <c r="E8" s="80" t="e">
        <f>K6+M6</f>
        <v>#DIV/0!</v>
      </c>
      <c r="F8" s="71"/>
      <c r="G8" s="71">
        <v>0.5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26" ht="23.25" x14ac:dyDescent="0.35">
      <c r="A9" s="42"/>
      <c r="B9" s="71" t="s">
        <v>13</v>
      </c>
      <c r="C9" s="71">
        <f>J4</f>
        <v>8.3472000000000005E-2</v>
      </c>
      <c r="D9" s="71"/>
      <c r="E9" s="71">
        <f>J6</f>
        <v>0.49999728000000004</v>
      </c>
      <c r="F9" s="71"/>
      <c r="G9" s="71">
        <v>0.5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26" ht="23.25" x14ac:dyDescent="0.35">
      <c r="B10" s="71" t="s">
        <v>15</v>
      </c>
      <c r="C10" s="89">
        <f>D4</f>
        <v>3.8397329999999998</v>
      </c>
      <c r="D10" s="89"/>
      <c r="E10" s="89">
        <f>D6</f>
        <v>23.000000669999999</v>
      </c>
      <c r="F10" s="89"/>
      <c r="G10" s="89">
        <v>23</v>
      </c>
      <c r="N10" s="71"/>
      <c r="O10" s="71"/>
      <c r="P10" s="71"/>
      <c r="Q10" s="71"/>
      <c r="R10" s="71"/>
      <c r="S10" s="71"/>
    </row>
    <row r="11" spans="1:26" ht="23.25" x14ac:dyDescent="0.35">
      <c r="C11" s="89"/>
      <c r="D11" s="89"/>
      <c r="E11" s="89" t="e">
        <f>E7+E8+E9+E10</f>
        <v>#DIV/0!</v>
      </c>
      <c r="F11" s="89"/>
      <c r="G11" s="89">
        <f>G7+G8+G9+G10</f>
        <v>118</v>
      </c>
      <c r="N11" s="71"/>
      <c r="O11" s="71"/>
      <c r="P11" s="71"/>
      <c r="Q11" s="71"/>
      <c r="R11" s="71"/>
      <c r="S11" s="71"/>
    </row>
    <row r="12" spans="1:26" ht="23.25" x14ac:dyDescent="0.35">
      <c r="N12" s="71"/>
      <c r="O12" s="71"/>
      <c r="P12" s="71"/>
      <c r="Q12" s="71"/>
      <c r="R12" s="71"/>
      <c r="S12" s="71"/>
    </row>
    <row r="13" spans="1:26" ht="23.25" x14ac:dyDescent="0.35">
      <c r="N13" s="71"/>
      <c r="O13" s="71"/>
      <c r="P13" s="71"/>
      <c r="Q13" s="71"/>
      <c r="R13" s="71"/>
      <c r="S13" s="71"/>
    </row>
    <row r="14" spans="1:26" ht="23.25" x14ac:dyDescent="0.35">
      <c r="N14" s="71"/>
      <c r="O14" s="71"/>
      <c r="P14" s="71"/>
      <c r="Q14" s="71"/>
      <c r="R14" s="71"/>
      <c r="S14" s="71"/>
    </row>
    <row r="15" spans="1:26" ht="23.25" x14ac:dyDescent="0.35">
      <c r="N15" s="71"/>
      <c r="O15" s="71"/>
      <c r="P15" s="71"/>
      <c r="Q15" s="71"/>
      <c r="R15" s="71"/>
      <c r="S15" s="71"/>
    </row>
    <row r="16" spans="1:26" ht="23.25" x14ac:dyDescent="0.35">
      <c r="A16" s="42"/>
      <c r="B16" s="71">
        <v>98</v>
      </c>
      <c r="C16" s="81">
        <f>B16*100/599</f>
        <v>16.360601001669448</v>
      </c>
      <c r="D16" s="71">
        <v>94.49</v>
      </c>
      <c r="E16" s="83"/>
      <c r="F16" s="71">
        <v>7</v>
      </c>
      <c r="G16" s="81">
        <f t="shared" ref="G16:G18" si="0">F16*100/599</f>
        <v>1.1686143572621035</v>
      </c>
      <c r="H16" s="71"/>
      <c r="I16" s="71" t="s">
        <v>72</v>
      </c>
      <c r="J16" s="84"/>
      <c r="K16" s="71" t="s">
        <v>73</v>
      </c>
      <c r="L16" s="71"/>
      <c r="M16" s="71"/>
      <c r="N16" s="71"/>
      <c r="O16" s="71"/>
      <c r="P16" s="71"/>
      <c r="Q16" s="71"/>
      <c r="R16" s="71"/>
      <c r="S16" s="71"/>
    </row>
    <row r="17" spans="1:19" ht="23.25" x14ac:dyDescent="0.35">
      <c r="A17" s="42"/>
      <c r="B17" s="71">
        <v>0.5</v>
      </c>
      <c r="C17" s="81">
        <f t="shared" ref="C17:C18" si="1">B17*100/599</f>
        <v>8.347245409015025E-2</v>
      </c>
      <c r="D17" s="71">
        <v>95.82</v>
      </c>
      <c r="E17" s="83"/>
      <c r="F17" s="71">
        <v>8</v>
      </c>
      <c r="G17" s="81">
        <f t="shared" si="0"/>
        <v>1.335559265442404</v>
      </c>
      <c r="H17" s="71"/>
      <c r="I17" s="85" t="s">
        <v>74</v>
      </c>
      <c r="J17" s="71"/>
      <c r="K17" s="86" t="s">
        <v>75</v>
      </c>
      <c r="L17" s="71"/>
      <c r="M17" s="77"/>
      <c r="N17" s="71"/>
      <c r="O17" s="71"/>
      <c r="P17" s="71"/>
      <c r="Q17" s="71"/>
      <c r="R17" s="71"/>
      <c r="S17" s="71"/>
    </row>
    <row r="18" spans="1:19" ht="23.25" x14ac:dyDescent="0.35">
      <c r="A18" s="42"/>
      <c r="B18" s="71">
        <v>23</v>
      </c>
      <c r="C18" s="81">
        <f t="shared" si="1"/>
        <v>3.8397328881469117</v>
      </c>
      <c r="D18" s="71">
        <v>89.48</v>
      </c>
      <c r="E18" s="83" t="s">
        <v>42</v>
      </c>
      <c r="F18" s="71">
        <v>9</v>
      </c>
      <c r="G18" s="81">
        <f t="shared" si="0"/>
        <v>1.5025041736227045</v>
      </c>
      <c r="H18" s="71"/>
      <c r="I18" s="71" t="s">
        <v>76</v>
      </c>
      <c r="J18" s="84"/>
      <c r="K18" s="71"/>
      <c r="L18" s="71"/>
      <c r="M18" s="71"/>
      <c r="N18" s="71"/>
      <c r="O18" s="71"/>
      <c r="P18" s="71"/>
      <c r="Q18" s="71"/>
      <c r="R18" s="71"/>
      <c r="S18" s="71"/>
    </row>
    <row r="19" spans="1:19" ht="23.25" x14ac:dyDescent="0.35">
      <c r="A19" s="29"/>
      <c r="B19" s="70"/>
      <c r="C19" s="71"/>
      <c r="D19" s="82"/>
      <c r="E19" s="71"/>
      <c r="F19" s="81"/>
      <c r="G19" s="71"/>
      <c r="H19" s="87"/>
      <c r="I19" s="78"/>
      <c r="J19" s="81"/>
      <c r="K19" s="75"/>
      <c r="L19" s="75"/>
      <c r="M19" s="75"/>
      <c r="N19" s="75"/>
      <c r="O19" s="75"/>
      <c r="P19" s="75"/>
      <c r="Q19" s="75"/>
      <c r="R19" s="71"/>
      <c r="S19" s="71"/>
    </row>
    <row r="20" spans="1:19" ht="23.25" x14ac:dyDescent="0.35">
      <c r="A20" s="2"/>
      <c r="B20" s="70"/>
      <c r="C20" s="70"/>
      <c r="D20" s="70"/>
      <c r="E20" s="88"/>
      <c r="F20" s="88"/>
      <c r="G20" s="70"/>
      <c r="H20" s="70"/>
      <c r="I20" s="70"/>
      <c r="J20" s="70"/>
      <c r="K20" s="70"/>
      <c r="L20" s="88"/>
      <c r="M20" s="70"/>
      <c r="N20" s="88"/>
      <c r="O20" s="70"/>
      <c r="P20" s="70"/>
      <c r="Q20" s="70"/>
      <c r="R20" s="71"/>
      <c r="S20" s="71"/>
    </row>
    <row r="21" spans="1:19" ht="23.25" x14ac:dyDescent="0.35">
      <c r="A21" s="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0"/>
      <c r="P21" s="70"/>
      <c r="Q21" s="70"/>
      <c r="R21" s="71"/>
      <c r="S21" s="71"/>
    </row>
    <row r="22" spans="1:19" ht="23.25" x14ac:dyDescent="0.35">
      <c r="A22" s="3"/>
      <c r="B22" s="73"/>
      <c r="C22" s="73"/>
      <c r="D22" s="73"/>
      <c r="E22" s="73"/>
      <c r="F22" s="74"/>
      <c r="G22" s="74"/>
      <c r="H22" s="74"/>
      <c r="I22" s="75"/>
      <c r="J22" s="75"/>
      <c r="K22" s="75"/>
      <c r="L22" s="75"/>
      <c r="M22" s="75"/>
      <c r="N22" s="75"/>
      <c r="O22" s="88"/>
      <c r="P22" s="70"/>
      <c r="Q22" s="70"/>
      <c r="R22" s="71"/>
      <c r="S22" s="71"/>
    </row>
    <row r="23" spans="1:19" ht="23.25" x14ac:dyDescent="0.35"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0"/>
      <c r="P23" s="70"/>
      <c r="Q23" s="70"/>
      <c r="R23" s="71"/>
      <c r="S23" s="71"/>
    </row>
    <row r="24" spans="1:19" ht="23.25" x14ac:dyDescent="0.35">
      <c r="B24" s="71" t="s">
        <v>6</v>
      </c>
      <c r="C24" s="71" t="s">
        <v>53</v>
      </c>
      <c r="D24" s="71" t="s">
        <v>52</v>
      </c>
      <c r="E24" s="71" t="s">
        <v>1</v>
      </c>
      <c r="F24" s="71" t="s">
        <v>47</v>
      </c>
      <c r="G24" s="71" t="s">
        <v>54</v>
      </c>
      <c r="H24" s="71" t="s">
        <v>4</v>
      </c>
      <c r="I24" s="71" t="s">
        <v>49</v>
      </c>
      <c r="J24" s="71" t="s">
        <v>2</v>
      </c>
      <c r="K24" s="71" t="s">
        <v>3</v>
      </c>
      <c r="L24" s="71" t="s">
        <v>48</v>
      </c>
      <c r="M24" s="71" t="s">
        <v>85</v>
      </c>
      <c r="N24" s="71" t="s">
        <v>5</v>
      </c>
      <c r="O24" s="71" t="s">
        <v>86</v>
      </c>
      <c r="P24" s="71"/>
      <c r="Q24" s="71"/>
      <c r="R24" s="71"/>
      <c r="S24" s="71"/>
    </row>
    <row r="25" spans="1:19" ht="23.25" x14ac:dyDescent="0.35">
      <c r="B25" s="71">
        <v>93.774999999999991</v>
      </c>
      <c r="C25" s="71"/>
      <c r="D25" s="71"/>
      <c r="E25" s="71"/>
      <c r="F25" s="71">
        <v>2.5000000000000001E-2</v>
      </c>
      <c r="G25" s="71">
        <v>3.85</v>
      </c>
      <c r="H25" s="71">
        <v>2.2000000000000002</v>
      </c>
      <c r="I25" s="71"/>
      <c r="J25" s="71">
        <v>0.01</v>
      </c>
      <c r="K25" s="71">
        <v>2.5000000000000001E-2</v>
      </c>
      <c r="L25" s="71">
        <v>7.0000000000000007E-2</v>
      </c>
      <c r="M25" s="71"/>
      <c r="N25" s="71">
        <v>4.4999999999999998E-2</v>
      </c>
      <c r="O25" s="71"/>
      <c r="P25" s="71"/>
      <c r="Q25" s="71"/>
      <c r="R25" s="71"/>
      <c r="S25" s="71"/>
    </row>
    <row r="26" spans="1:19" ht="23.25" x14ac:dyDescent="0.35">
      <c r="B26" s="71">
        <v>80.644157300439971</v>
      </c>
      <c r="C26" s="71">
        <v>0</v>
      </c>
      <c r="D26" s="71">
        <v>0</v>
      </c>
      <c r="E26" s="71">
        <v>0</v>
      </c>
      <c r="F26" s="71">
        <v>1.8894005743496499E-2</v>
      </c>
      <c r="G26" s="71">
        <v>15.393910844382363</v>
      </c>
      <c r="H26" s="71">
        <v>3.7616596401949636</v>
      </c>
      <c r="I26" s="71">
        <v>0</v>
      </c>
      <c r="J26" s="71">
        <v>8.1817260998195175E-3</v>
      </c>
      <c r="K26" s="71">
        <v>2.3091462299322321E-2</v>
      </c>
      <c r="L26" s="71">
        <v>6.1195527941688498E-2</v>
      </c>
      <c r="M26" s="71">
        <v>0</v>
      </c>
      <c r="N26" s="71">
        <v>8.8909492898382264E-2</v>
      </c>
      <c r="O26" s="71">
        <v>0</v>
      </c>
      <c r="P26" s="71"/>
      <c r="Q26" s="71"/>
      <c r="R26" s="71"/>
      <c r="S26" s="71"/>
    </row>
    <row r="27" spans="1:19" ht="23.25" x14ac:dyDescent="0.35"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</row>
    <row r="28" spans="1:19" ht="23.25" x14ac:dyDescent="0.35"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</row>
    <row r="29" spans="1:19" ht="23.25" x14ac:dyDescent="0.35"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</row>
  </sheetData>
  <pageMargins left="0.7" right="0.7" top="0.78740157499999996" bottom="0.78740157499999996" header="0.3" footer="0.3"/>
  <pageSetup paperSize="9" orientation="portrait" verticalDpi="597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831D-FE34-46BE-A945-8C410D179EEB}">
  <dimension ref="A1:Z29"/>
  <sheetViews>
    <sheetView workbookViewId="0">
      <selection activeCell="C4" sqref="C4:P4"/>
    </sheetView>
  </sheetViews>
  <sheetFormatPr baseColWidth="10" defaultRowHeight="15" x14ac:dyDescent="0.25"/>
  <cols>
    <col min="2" max="2" width="17.28515625" customWidth="1"/>
    <col min="3" max="3" width="23.140625" customWidth="1"/>
    <col min="4" max="4" width="11.5703125" bestFit="1" customWidth="1"/>
    <col min="5" max="5" width="13" bestFit="1" customWidth="1"/>
    <col min="6" max="8" width="11.5703125" bestFit="1" customWidth="1"/>
    <col min="9" max="9" width="13.5703125" customWidth="1"/>
    <col min="10" max="11" width="11.5703125" bestFit="1" customWidth="1"/>
    <col min="12" max="13" width="20.28515625" bestFit="1" customWidth="1"/>
    <col min="14" max="14" width="11.5703125" bestFit="1" customWidth="1"/>
    <col min="15" max="15" width="20.28515625" bestFit="1" customWidth="1"/>
    <col min="16" max="17" width="12.140625" bestFit="1" customWidth="1"/>
  </cols>
  <sheetData>
    <row r="1" spans="1:26" ht="18" x14ac:dyDescent="0.25">
      <c r="A1" s="34"/>
      <c r="B1" s="38"/>
      <c r="C1" s="3"/>
      <c r="D1" s="3"/>
      <c r="E1" s="39"/>
      <c r="F1" s="1"/>
      <c r="G1" s="40"/>
      <c r="H1" s="3"/>
      <c r="I1" s="3"/>
      <c r="J1" s="12"/>
      <c r="K1" s="39"/>
      <c r="L1" s="3"/>
      <c r="M1" s="3"/>
      <c r="N1" s="3"/>
      <c r="O1" s="3"/>
    </row>
    <row r="2" spans="1:26" ht="15.75" x14ac:dyDescent="0.25">
      <c r="B2" s="3">
        <f>C2+D2+E2+F2+G2+H2+I2+J2+K2+L2+M2+N2+O2</f>
        <v>20.701167819999998</v>
      </c>
      <c r="C2" s="64">
        <f>C4+D4+E4+F4+G4+H4+I4</f>
        <v>20.534223819999998</v>
      </c>
      <c r="D2" s="64"/>
      <c r="E2" s="3"/>
      <c r="F2" s="3"/>
      <c r="G2" s="3"/>
      <c r="H2" s="26"/>
      <c r="I2" s="3"/>
      <c r="J2" s="26">
        <f>J4</f>
        <v>8.3472000000000005E-2</v>
      </c>
      <c r="K2" s="4">
        <f>K4+L4+M4+N4+O4</f>
        <v>8.3472000000000005E-2</v>
      </c>
      <c r="L2" s="64"/>
      <c r="M2" s="4"/>
      <c r="N2" s="65"/>
      <c r="O2" s="26"/>
      <c r="P2" s="4"/>
    </row>
    <row r="3" spans="1:26" ht="26.25" x14ac:dyDescent="0.4">
      <c r="A3" s="38"/>
      <c r="B3" s="70" t="s">
        <v>14</v>
      </c>
      <c r="C3" s="70" t="s">
        <v>56</v>
      </c>
      <c r="D3" s="70" t="s">
        <v>15</v>
      </c>
      <c r="E3" s="70" t="s">
        <v>8</v>
      </c>
      <c r="F3" s="70" t="s">
        <v>9</v>
      </c>
      <c r="G3" s="70" t="s">
        <v>57</v>
      </c>
      <c r="H3" s="70" t="s">
        <v>58</v>
      </c>
      <c r="I3" s="70" t="s">
        <v>77</v>
      </c>
      <c r="J3" s="70" t="s">
        <v>13</v>
      </c>
      <c r="K3" s="70" t="s">
        <v>16</v>
      </c>
      <c r="L3" s="70" t="s">
        <v>55</v>
      </c>
      <c r="M3" s="70" t="s">
        <v>44</v>
      </c>
      <c r="N3" s="70" t="s">
        <v>10</v>
      </c>
      <c r="O3" s="70" t="s">
        <v>12</v>
      </c>
      <c r="P3" s="71" t="s">
        <v>80</v>
      </c>
      <c r="Q3" s="71" t="s">
        <v>81</v>
      </c>
      <c r="R3" s="71" t="s">
        <v>82</v>
      </c>
      <c r="S3" s="71" t="s">
        <v>83</v>
      </c>
      <c r="T3" s="33" t="s">
        <v>45</v>
      </c>
      <c r="U3" s="33" t="s">
        <v>17</v>
      </c>
      <c r="V3" s="33" t="s">
        <v>84</v>
      </c>
      <c r="W3" s="33" t="s">
        <v>0</v>
      </c>
      <c r="X3" s="33" t="s">
        <v>11</v>
      </c>
      <c r="Y3" s="33" t="s">
        <v>10</v>
      </c>
      <c r="Z3" s="33" t="s">
        <v>46</v>
      </c>
    </row>
    <row r="4" spans="1:26" ht="23.25" x14ac:dyDescent="0.35">
      <c r="A4" s="38"/>
      <c r="B4" s="70">
        <f>100-C4-D4-E4-F4-G4-H4-I4-J4-K4-L4-M4-N4-O4</f>
        <v>79.298832180000005</v>
      </c>
      <c r="C4" s="71">
        <v>16.694490819999999</v>
      </c>
      <c r="D4" s="71">
        <v>3.8397329999999998</v>
      </c>
      <c r="E4" s="71"/>
      <c r="F4" s="71"/>
      <c r="G4" s="72"/>
      <c r="H4" s="72"/>
      <c r="I4" s="72"/>
      <c r="J4" s="71">
        <v>8.3472000000000005E-2</v>
      </c>
      <c r="K4" s="71">
        <v>8.3472000000000005E-2</v>
      </c>
      <c r="L4" s="72"/>
      <c r="M4" s="71"/>
      <c r="N4" s="72"/>
      <c r="O4" s="72"/>
      <c r="P4" s="71"/>
      <c r="Q4" s="71"/>
      <c r="R4" s="71"/>
      <c r="S4" s="71"/>
    </row>
    <row r="5" spans="1:26" ht="23.25" x14ac:dyDescent="0.35">
      <c r="A5" s="38"/>
      <c r="B5" s="70" t="s">
        <v>87</v>
      </c>
      <c r="C5" s="73">
        <f>B4/C4</f>
        <v>4.7500000470215005</v>
      </c>
      <c r="D5" s="73">
        <f>B4/D4</f>
        <v>20.652173518314946</v>
      </c>
      <c r="E5" s="73" t="e">
        <f>B4/E4</f>
        <v>#DIV/0!</v>
      </c>
      <c r="F5" s="73" t="e">
        <f>B4/F4</f>
        <v>#DIV/0!</v>
      </c>
      <c r="G5" s="74" t="e">
        <f>B4/G4</f>
        <v>#DIV/0!</v>
      </c>
      <c r="H5" s="74" t="e">
        <f>B4/H4</f>
        <v>#DIV/0!</v>
      </c>
      <c r="I5" s="74" t="e">
        <f>B4/I4</f>
        <v>#DIV/0!</v>
      </c>
      <c r="J5" s="75">
        <f>B4/J4</f>
        <v>950.00517754456587</v>
      </c>
      <c r="K5" s="75">
        <f>B4/K4</f>
        <v>950.00517754456587</v>
      </c>
      <c r="L5" s="75" t="e">
        <f>B4/L4</f>
        <v>#DIV/0!</v>
      </c>
      <c r="M5" s="75" t="e">
        <f>B4/M4</f>
        <v>#DIV/0!</v>
      </c>
      <c r="N5" s="75" t="e">
        <f>B4/N4</f>
        <v>#DIV/0!</v>
      </c>
      <c r="O5" s="75" t="e">
        <f>B4/O4</f>
        <v>#DIV/0!</v>
      </c>
      <c r="P5" s="71" t="e">
        <f>B4/P4</f>
        <v>#DIV/0!</v>
      </c>
      <c r="Q5" s="71"/>
      <c r="R5" s="71"/>
      <c r="S5" s="71"/>
    </row>
    <row r="6" spans="1:26" ht="23.25" x14ac:dyDescent="0.35">
      <c r="B6" s="71"/>
      <c r="C6" s="71">
        <f>599*B4/100/C5</f>
        <v>100.0000000118</v>
      </c>
      <c r="D6" s="71">
        <f>599*B4/100/D5</f>
        <v>23.000000669999999</v>
      </c>
      <c r="E6" s="71" t="e">
        <f>599*B4/100/E5</f>
        <v>#DIV/0!</v>
      </c>
      <c r="F6" s="71" t="e">
        <f>599*B4/100/F5</f>
        <v>#DIV/0!</v>
      </c>
      <c r="G6" s="71" t="e">
        <f>599*B4/100/G5</f>
        <v>#DIV/0!</v>
      </c>
      <c r="H6" s="71" t="e">
        <f>599*B4/100/H5</f>
        <v>#DIV/0!</v>
      </c>
      <c r="I6" s="71" t="e">
        <f>599*B4/100/I5</f>
        <v>#DIV/0!</v>
      </c>
      <c r="J6" s="71">
        <f>599*B4/100/J5</f>
        <v>0.49999727999999999</v>
      </c>
      <c r="K6" s="71">
        <f>599*B4/100/K5</f>
        <v>0.49999727999999999</v>
      </c>
      <c r="L6" s="71" t="e">
        <f>599*B4/100/L5</f>
        <v>#DIV/0!</v>
      </c>
      <c r="M6" s="71" t="e">
        <f>599*B4/100/M5</f>
        <v>#DIV/0!</v>
      </c>
      <c r="N6" s="71" t="e">
        <f>599*B4/100/N5</f>
        <v>#DIV/0!</v>
      </c>
      <c r="O6" s="71" t="e">
        <f>599*B4/100/O5</f>
        <v>#DIV/0!</v>
      </c>
      <c r="P6" s="71" t="e">
        <f>599*N4/100/P5</f>
        <v>#DIV/0!</v>
      </c>
      <c r="Q6" s="71" t="e">
        <f>599*P4/100/Q5</f>
        <v>#DIV/0!</v>
      </c>
      <c r="R6" s="71"/>
      <c r="S6" s="71"/>
    </row>
    <row r="7" spans="1:26" ht="23.25" x14ac:dyDescent="0.35">
      <c r="A7" s="42"/>
      <c r="B7" s="71" t="s">
        <v>88</v>
      </c>
      <c r="C7" s="76">
        <f>C4+E4+F4</f>
        <v>16.694490819999999</v>
      </c>
      <c r="D7" s="77"/>
      <c r="E7" s="77" t="e">
        <f>C6+F6+E6</f>
        <v>#DIV/0!</v>
      </c>
      <c r="F7" s="77"/>
      <c r="G7" s="77">
        <v>94</v>
      </c>
      <c r="H7" s="77"/>
      <c r="I7" s="77"/>
      <c r="J7" s="77" t="e">
        <f>J6+O6</f>
        <v>#DIV/0!</v>
      </c>
      <c r="K7" s="77"/>
      <c r="L7" s="77"/>
      <c r="M7" s="77"/>
      <c r="N7" s="77"/>
      <c r="O7" s="77"/>
      <c r="P7" s="77"/>
      <c r="Q7" s="71"/>
      <c r="R7" s="71"/>
      <c r="S7" s="71"/>
    </row>
    <row r="8" spans="1:26" ht="23.25" x14ac:dyDescent="0.35">
      <c r="A8" s="45"/>
      <c r="B8" s="78" t="s">
        <v>89</v>
      </c>
      <c r="C8" s="79">
        <f>K4+M4</f>
        <v>8.3472000000000005E-2</v>
      </c>
      <c r="D8" s="71"/>
      <c r="E8" s="80" t="e">
        <f>K6+M6</f>
        <v>#DIV/0!</v>
      </c>
      <c r="F8" s="71"/>
      <c r="G8" s="71">
        <v>0.5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26" ht="23.25" x14ac:dyDescent="0.35">
      <c r="A9" s="42"/>
      <c r="B9" s="71" t="s">
        <v>13</v>
      </c>
      <c r="C9" s="71">
        <f>J4</f>
        <v>8.3472000000000005E-2</v>
      </c>
      <c r="D9" s="71"/>
      <c r="E9" s="71">
        <f>J6</f>
        <v>0.49999727999999999</v>
      </c>
      <c r="F9" s="71"/>
      <c r="G9" s="71">
        <v>0.5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26" ht="23.25" x14ac:dyDescent="0.35">
      <c r="B10" s="71" t="s">
        <v>15</v>
      </c>
      <c r="C10" s="89">
        <f>D4</f>
        <v>3.8397329999999998</v>
      </c>
      <c r="D10" s="89"/>
      <c r="E10" s="89">
        <f>D6</f>
        <v>23.000000669999999</v>
      </c>
      <c r="F10" s="89"/>
      <c r="G10" s="89">
        <v>23</v>
      </c>
      <c r="N10" s="71"/>
      <c r="O10" s="71"/>
      <c r="P10" s="71"/>
      <c r="Q10" s="71"/>
      <c r="R10" s="71"/>
      <c r="S10" s="71"/>
    </row>
    <row r="11" spans="1:26" ht="23.25" x14ac:dyDescent="0.35">
      <c r="C11" s="89"/>
      <c r="D11" s="89"/>
      <c r="E11" s="89" t="e">
        <f>E7+E8+E9+E10</f>
        <v>#DIV/0!</v>
      </c>
      <c r="F11" s="89"/>
      <c r="G11" s="89">
        <f>G7+G8+G9+G10</f>
        <v>118</v>
      </c>
      <c r="N11" s="71"/>
      <c r="O11" s="71"/>
      <c r="P11" s="71"/>
      <c r="Q11" s="71"/>
      <c r="R11" s="71"/>
      <c r="S11" s="71"/>
    </row>
    <row r="12" spans="1:26" ht="23.25" x14ac:dyDescent="0.35">
      <c r="N12" s="71"/>
      <c r="O12" s="71"/>
      <c r="P12" s="71"/>
      <c r="Q12" s="71"/>
      <c r="R12" s="71"/>
      <c r="S12" s="71"/>
    </row>
    <row r="13" spans="1:26" ht="23.25" x14ac:dyDescent="0.35">
      <c r="N13" s="71"/>
      <c r="O13" s="71"/>
      <c r="P13" s="71"/>
      <c r="Q13" s="71"/>
      <c r="R13" s="71"/>
      <c r="S13" s="71"/>
    </row>
    <row r="14" spans="1:26" ht="23.25" x14ac:dyDescent="0.35">
      <c r="N14" s="71"/>
      <c r="O14" s="71"/>
      <c r="P14" s="71"/>
      <c r="Q14" s="71"/>
      <c r="R14" s="71"/>
      <c r="S14" s="71"/>
    </row>
    <row r="15" spans="1:26" ht="23.25" x14ac:dyDescent="0.35">
      <c r="N15" s="71"/>
      <c r="O15" s="71"/>
      <c r="P15" s="71"/>
      <c r="Q15" s="71"/>
      <c r="R15" s="71"/>
      <c r="S15" s="71"/>
    </row>
    <row r="16" spans="1:26" ht="23.25" x14ac:dyDescent="0.35">
      <c r="A16" s="42"/>
      <c r="B16" s="71">
        <v>100</v>
      </c>
      <c r="C16" s="81">
        <f>B16*100/599</f>
        <v>16.694490818030051</v>
      </c>
      <c r="D16" s="71">
        <v>94.49</v>
      </c>
      <c r="E16" s="83"/>
      <c r="F16" s="71">
        <v>7</v>
      </c>
      <c r="G16" s="81">
        <f t="shared" ref="G16:G18" si="0">F16*100/599</f>
        <v>1.1686143572621035</v>
      </c>
      <c r="H16" s="71"/>
      <c r="I16" s="71" t="s">
        <v>72</v>
      </c>
      <c r="J16" s="84"/>
      <c r="K16" s="71" t="s">
        <v>73</v>
      </c>
      <c r="L16" s="71"/>
      <c r="M16" s="71"/>
      <c r="N16" s="71"/>
      <c r="O16" s="71"/>
      <c r="P16" s="71"/>
      <c r="Q16" s="71"/>
      <c r="R16" s="71"/>
      <c r="S16" s="71"/>
    </row>
    <row r="17" spans="1:19" ht="23.25" x14ac:dyDescent="0.35">
      <c r="A17" s="42"/>
      <c r="B17" s="71">
        <v>0.5</v>
      </c>
      <c r="C17" s="81">
        <f t="shared" ref="C17:C18" si="1">B17*100/599</f>
        <v>8.347245409015025E-2</v>
      </c>
      <c r="D17" s="71">
        <v>95.82</v>
      </c>
      <c r="E17" s="83"/>
      <c r="F17" s="71">
        <v>8</v>
      </c>
      <c r="G17" s="81">
        <f t="shared" si="0"/>
        <v>1.335559265442404</v>
      </c>
      <c r="H17" s="71"/>
      <c r="I17" s="85" t="s">
        <v>74</v>
      </c>
      <c r="J17" s="71"/>
      <c r="K17" s="86" t="s">
        <v>75</v>
      </c>
      <c r="L17" s="71"/>
      <c r="M17" s="77"/>
      <c r="N17" s="71"/>
      <c r="O17" s="71"/>
      <c r="P17" s="71"/>
      <c r="Q17" s="71"/>
      <c r="R17" s="71"/>
      <c r="S17" s="71"/>
    </row>
    <row r="18" spans="1:19" ht="23.25" x14ac:dyDescent="0.35">
      <c r="A18" s="42"/>
      <c r="B18" s="71">
        <v>23</v>
      </c>
      <c r="C18" s="81">
        <f t="shared" si="1"/>
        <v>3.8397328881469117</v>
      </c>
      <c r="D18" s="71">
        <v>89.48</v>
      </c>
      <c r="E18" s="83" t="s">
        <v>42</v>
      </c>
      <c r="F18" s="71">
        <v>9</v>
      </c>
      <c r="G18" s="81">
        <f t="shared" si="0"/>
        <v>1.5025041736227045</v>
      </c>
      <c r="H18" s="71"/>
      <c r="I18" s="71" t="s">
        <v>76</v>
      </c>
      <c r="J18" s="84"/>
      <c r="K18" s="71"/>
      <c r="L18" s="71"/>
      <c r="M18" s="71"/>
      <c r="N18" s="71"/>
      <c r="O18" s="71"/>
      <c r="P18" s="71"/>
      <c r="Q18" s="71"/>
      <c r="R18" s="71"/>
      <c r="S18" s="71"/>
    </row>
    <row r="19" spans="1:19" ht="23.25" x14ac:dyDescent="0.35">
      <c r="A19" s="29"/>
      <c r="B19" s="70"/>
      <c r="C19" s="71"/>
      <c r="D19" s="82"/>
      <c r="E19" s="71"/>
      <c r="F19" s="81"/>
      <c r="G19" s="71"/>
      <c r="H19" s="87"/>
      <c r="I19" s="78"/>
      <c r="J19" s="81"/>
      <c r="K19" s="75"/>
      <c r="L19" s="75"/>
      <c r="M19" s="75"/>
      <c r="N19" s="75"/>
      <c r="O19" s="75"/>
      <c r="P19" s="75"/>
      <c r="Q19" s="75"/>
      <c r="R19" s="71"/>
      <c r="S19" s="71"/>
    </row>
    <row r="20" spans="1:19" ht="23.25" x14ac:dyDescent="0.35">
      <c r="A20" s="2"/>
      <c r="B20" s="70"/>
      <c r="C20" s="70"/>
      <c r="D20" s="70"/>
      <c r="E20" s="88"/>
      <c r="F20" s="88"/>
      <c r="G20" s="70"/>
      <c r="H20" s="70"/>
      <c r="I20" s="70"/>
      <c r="J20" s="70"/>
      <c r="K20" s="70"/>
      <c r="L20" s="88"/>
      <c r="M20" s="70"/>
      <c r="N20" s="88"/>
      <c r="O20" s="70"/>
      <c r="P20" s="70"/>
      <c r="Q20" s="70"/>
      <c r="R20" s="71"/>
      <c r="S20" s="71"/>
    </row>
    <row r="21" spans="1:19" ht="23.25" x14ac:dyDescent="0.35">
      <c r="A21" s="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0"/>
      <c r="P21" s="70"/>
      <c r="Q21" s="70"/>
      <c r="R21" s="71"/>
      <c r="S21" s="71"/>
    </row>
    <row r="22" spans="1:19" ht="23.25" x14ac:dyDescent="0.35">
      <c r="A22" s="3"/>
      <c r="B22" s="73"/>
      <c r="C22" s="73"/>
      <c r="D22" s="73"/>
      <c r="E22" s="73"/>
      <c r="F22" s="74"/>
      <c r="G22" s="74"/>
      <c r="H22" s="74"/>
      <c r="I22" s="75"/>
      <c r="J22" s="75"/>
      <c r="K22" s="75"/>
      <c r="L22" s="75"/>
      <c r="M22" s="75"/>
      <c r="N22" s="75"/>
      <c r="O22" s="88"/>
      <c r="P22" s="70"/>
      <c r="Q22" s="70"/>
      <c r="R22" s="71"/>
      <c r="S22" s="71"/>
    </row>
    <row r="23" spans="1:19" ht="23.25" x14ac:dyDescent="0.35"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0"/>
      <c r="P23" s="70"/>
      <c r="Q23" s="70"/>
      <c r="R23" s="71"/>
      <c r="S23" s="71"/>
    </row>
    <row r="24" spans="1:19" ht="23.25" x14ac:dyDescent="0.35">
      <c r="B24" s="71" t="s">
        <v>6</v>
      </c>
      <c r="C24" s="71" t="s">
        <v>53</v>
      </c>
      <c r="D24" s="71" t="s">
        <v>52</v>
      </c>
      <c r="E24" s="71" t="s">
        <v>1</v>
      </c>
      <c r="F24" s="71" t="s">
        <v>47</v>
      </c>
      <c r="G24" s="71" t="s">
        <v>54</v>
      </c>
      <c r="H24" s="71" t="s">
        <v>4</v>
      </c>
      <c r="I24" s="71" t="s">
        <v>49</v>
      </c>
      <c r="J24" s="71" t="s">
        <v>2</v>
      </c>
      <c r="K24" s="71" t="s">
        <v>3</v>
      </c>
      <c r="L24" s="71" t="s">
        <v>48</v>
      </c>
      <c r="M24" s="71" t="s">
        <v>85</v>
      </c>
      <c r="N24" s="71" t="s">
        <v>5</v>
      </c>
      <c r="O24" s="71" t="s">
        <v>86</v>
      </c>
      <c r="P24" s="71"/>
      <c r="Q24" s="71"/>
      <c r="R24" s="71"/>
      <c r="S24" s="71"/>
    </row>
    <row r="25" spans="1:19" ht="23.25" x14ac:dyDescent="0.35">
      <c r="B25" s="71">
        <v>93.774999999999991</v>
      </c>
      <c r="C25" s="71"/>
      <c r="D25" s="71"/>
      <c r="E25" s="71"/>
      <c r="F25" s="71">
        <v>2.5000000000000001E-2</v>
      </c>
      <c r="G25" s="71">
        <v>3.85</v>
      </c>
      <c r="H25" s="71">
        <v>2.2000000000000002</v>
      </c>
      <c r="I25" s="71"/>
      <c r="J25" s="71">
        <v>0.01</v>
      </c>
      <c r="K25" s="71">
        <v>2.5000000000000001E-2</v>
      </c>
      <c r="L25" s="71">
        <v>7.0000000000000007E-2</v>
      </c>
      <c r="M25" s="71"/>
      <c r="N25" s="71">
        <v>4.4999999999999998E-2</v>
      </c>
      <c r="O25" s="71"/>
      <c r="P25" s="71"/>
      <c r="Q25" s="71"/>
      <c r="R25" s="71"/>
      <c r="S25" s="71"/>
    </row>
    <row r="26" spans="1:19" ht="23.25" x14ac:dyDescent="0.35">
      <c r="B26" s="71">
        <v>80.644157300439971</v>
      </c>
      <c r="C26" s="71">
        <v>0</v>
      </c>
      <c r="D26" s="71">
        <v>0</v>
      </c>
      <c r="E26" s="71">
        <v>0</v>
      </c>
      <c r="F26" s="71">
        <v>1.8894005743496499E-2</v>
      </c>
      <c r="G26" s="71">
        <v>15.393910844382363</v>
      </c>
      <c r="H26" s="71">
        <v>3.7616596401949636</v>
      </c>
      <c r="I26" s="71">
        <v>0</v>
      </c>
      <c r="J26" s="71">
        <v>8.1817260998195175E-3</v>
      </c>
      <c r="K26" s="71">
        <v>2.3091462299322321E-2</v>
      </c>
      <c r="L26" s="71">
        <v>6.1195527941688498E-2</v>
      </c>
      <c r="M26" s="71">
        <v>0</v>
      </c>
      <c r="N26" s="71">
        <v>8.8909492898382264E-2</v>
      </c>
      <c r="O26" s="71">
        <v>0</v>
      </c>
      <c r="P26" s="71"/>
      <c r="Q26" s="71"/>
      <c r="R26" s="71"/>
      <c r="S26" s="71"/>
    </row>
    <row r="27" spans="1:19" ht="23.25" x14ac:dyDescent="0.35"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</row>
    <row r="28" spans="1:19" ht="23.25" x14ac:dyDescent="0.35"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</row>
    <row r="29" spans="1:19" ht="23.25" x14ac:dyDescent="0.35"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</row>
  </sheetData>
  <pageMargins left="0.7" right="0.7" top="0.78740157499999996" bottom="0.78740157499999996" header="0.3" footer="0.3"/>
  <pageSetup paperSize="9"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7D59-906E-4448-9F18-1BA2CCFD2564}">
  <dimension ref="A1:BK70"/>
  <sheetViews>
    <sheetView zoomScale="89" zoomScaleNormal="89" workbookViewId="0">
      <selection activeCell="E6" sqref="E6"/>
    </sheetView>
  </sheetViews>
  <sheetFormatPr baseColWidth="10" defaultColWidth="8.7109375" defaultRowHeight="15" x14ac:dyDescent="0.25"/>
  <cols>
    <col min="1" max="1" width="31.42578125" customWidth="1"/>
    <col min="2" max="2" width="16.85546875" customWidth="1"/>
    <col min="3" max="3" width="23.85546875" customWidth="1"/>
    <col min="4" max="4" width="13.7109375" customWidth="1"/>
    <col min="5" max="5" width="9.5703125" customWidth="1"/>
    <col min="6" max="6" width="10.85546875" customWidth="1"/>
    <col min="7" max="8" width="12.140625" customWidth="1"/>
    <col min="9" max="9" width="10.7109375" customWidth="1"/>
    <col min="10" max="10" width="12.7109375" customWidth="1"/>
    <col min="11" max="11" width="10.5703125" customWidth="1"/>
    <col min="12" max="12" width="9.85546875" customWidth="1"/>
    <col min="13" max="13" width="13.140625" customWidth="1"/>
    <col min="14" max="14" width="11.42578125" customWidth="1"/>
    <col min="15" max="15" width="8.85546875" customWidth="1"/>
    <col min="16" max="16" width="12.7109375" bestFit="1" customWidth="1"/>
    <col min="17" max="26" width="14.140625" bestFit="1" customWidth="1"/>
    <col min="27" max="51" width="8.85546875" bestFit="1" customWidth="1"/>
  </cols>
  <sheetData>
    <row r="1" spans="1:63" ht="18.75" x14ac:dyDescent="0.3">
      <c r="A1" s="7" t="s">
        <v>34</v>
      </c>
      <c r="B1" s="5"/>
      <c r="C1" s="7">
        <f>C5-C2</f>
        <v>3.7062318192407684E-2</v>
      </c>
      <c r="D1" s="7">
        <f>D4-D2</f>
        <v>-2.3516120646559724E-2</v>
      </c>
      <c r="E1" s="7">
        <f>E2-E5</f>
        <v>0</v>
      </c>
      <c r="F1" s="7">
        <f>F4-F2</f>
        <v>0</v>
      </c>
      <c r="G1" s="7">
        <f t="shared" ref="G1:O1" si="0">G4-G2</f>
        <v>-2.7760029801149675</v>
      </c>
      <c r="H1" s="7">
        <f t="shared" si="0"/>
        <v>8.6931544255249328E-3</v>
      </c>
      <c r="I1" s="7">
        <f>I4-I2</f>
        <v>1.6794616947167066E-3</v>
      </c>
      <c r="J1" s="7">
        <f>J5-J2</f>
        <v>0</v>
      </c>
      <c r="K1" s="7">
        <f>K5-K2</f>
        <v>0</v>
      </c>
      <c r="L1" s="7">
        <f t="shared" si="0"/>
        <v>-0.1010804885246217</v>
      </c>
      <c r="M1" s="7">
        <f t="shared" si="0"/>
        <v>2.2156732870228838E-3</v>
      </c>
      <c r="N1" s="7">
        <f t="shared" si="0"/>
        <v>1.0840195544449927E-2</v>
      </c>
      <c r="O1" s="7">
        <f t="shared" si="0"/>
        <v>-4.5478054003748186E-3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</row>
    <row r="2" spans="1:63" ht="18.75" x14ac:dyDescent="0.3">
      <c r="A2" s="7" t="s">
        <v>37</v>
      </c>
      <c r="B2" s="288">
        <f>100-C2-D2-E2-F2-G2-H2-I2-J2-K2-L2-M2-N2-O2-P2-Q2-R2-S2-T2-U2-V2-W2-X2-Y2-Z2</f>
        <v>90.150367278798001</v>
      </c>
      <c r="C2" s="7">
        <f>'1.0330_3'!C4</f>
        <v>1.669449081803005</v>
      </c>
      <c r="D2" s="7">
        <f>'1.0330_3'!D4</f>
        <v>1.335559265442404</v>
      </c>
      <c r="E2" s="7">
        <f>'1.0330_3'!E4</f>
        <v>0</v>
      </c>
      <c r="F2" s="7">
        <f>'1.0330_3'!F4</f>
        <v>0</v>
      </c>
      <c r="G2" s="7">
        <f>'1.0330_3'!G4</f>
        <v>3.672787979966611</v>
      </c>
      <c r="H2" s="7">
        <f>'1.0330_3'!H4</f>
        <v>0</v>
      </c>
      <c r="I2" s="7">
        <f>'1.0330_3'!I4</f>
        <v>0</v>
      </c>
      <c r="J2" s="7">
        <f>'1.0330_3'!J4</f>
        <v>0</v>
      </c>
      <c r="K2" s="7">
        <f>'1.0330_3'!K4</f>
        <v>0</v>
      </c>
      <c r="L2" s="7">
        <f>'1.0330_3'!L4</f>
        <v>1.669449081803005</v>
      </c>
      <c r="M2" s="7">
        <f>'1.0330_3'!M4</f>
        <v>0</v>
      </c>
      <c r="N2" s="7">
        <f>'1.0330_3'!N4</f>
        <v>1.335559265442404</v>
      </c>
      <c r="O2" s="7">
        <f>'1.0330_3'!O4</f>
        <v>0.11118530884808014</v>
      </c>
      <c r="P2" s="7">
        <f>'1.0330_3'!P4</f>
        <v>0</v>
      </c>
      <c r="Q2" s="7">
        <f>'1.0330_3'!Q4</f>
        <v>5.5642737896494154E-2</v>
      </c>
      <c r="R2" s="7">
        <f>'1.0330_3'!R4</f>
        <v>0</v>
      </c>
      <c r="S2" s="7">
        <f>'1.0330_3'!S4</f>
        <v>0</v>
      </c>
      <c r="T2" s="7">
        <f>'1.0330_3'!T4</f>
        <v>0</v>
      </c>
      <c r="U2" s="7">
        <f>'1.0330_3'!U4</f>
        <v>0</v>
      </c>
      <c r="V2" s="7">
        <f>'1.0330_3'!V4</f>
        <v>0</v>
      </c>
      <c r="W2" s="7">
        <f>'1.0330_3'!W4</f>
        <v>0</v>
      </c>
      <c r="X2" s="7">
        <f>'1.0330_3'!X4</f>
        <v>0</v>
      </c>
      <c r="Y2" s="7">
        <f>'1.0330_3'!Y4</f>
        <v>0</v>
      </c>
      <c r="Z2" s="7">
        <f>'1.0330_3'!Z4</f>
        <v>0</v>
      </c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</row>
    <row r="3" spans="1:63" ht="18.75" x14ac:dyDescent="0.3">
      <c r="A3" s="7"/>
      <c r="B3" s="288" t="s">
        <v>14</v>
      </c>
      <c r="C3" s="277" t="s">
        <v>15</v>
      </c>
      <c r="D3" s="276" t="s">
        <v>8</v>
      </c>
      <c r="E3" s="155" t="s">
        <v>9</v>
      </c>
      <c r="F3" s="155" t="s">
        <v>234</v>
      </c>
      <c r="G3" s="277" t="s">
        <v>56</v>
      </c>
      <c r="H3" s="155" t="s">
        <v>57</v>
      </c>
      <c r="I3" s="155" t="s">
        <v>58</v>
      </c>
      <c r="J3" s="155" t="s">
        <v>77</v>
      </c>
      <c r="K3" s="155" t="s">
        <v>204</v>
      </c>
      <c r="L3" s="277" t="s">
        <v>16</v>
      </c>
      <c r="M3" s="155" t="s">
        <v>12</v>
      </c>
      <c r="N3" s="276" t="s">
        <v>44</v>
      </c>
      <c r="O3" s="155" t="s">
        <v>55</v>
      </c>
      <c r="P3" s="157" t="s">
        <v>17</v>
      </c>
      <c r="Q3" s="157" t="s">
        <v>80</v>
      </c>
      <c r="R3" s="157" t="s">
        <v>81</v>
      </c>
      <c r="S3" s="157" t="s">
        <v>82</v>
      </c>
      <c r="T3" s="157" t="s">
        <v>83</v>
      </c>
      <c r="U3" s="157" t="s">
        <v>45</v>
      </c>
      <c r="V3" s="157" t="s">
        <v>43</v>
      </c>
      <c r="W3" s="157" t="s">
        <v>13</v>
      </c>
      <c r="X3" s="157" t="s">
        <v>0</v>
      </c>
      <c r="Y3" s="157" t="s">
        <v>11</v>
      </c>
      <c r="Z3" s="157" t="s">
        <v>10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</row>
    <row r="4" spans="1:63" ht="18.75" x14ac:dyDescent="0.3">
      <c r="A4" s="7" t="s">
        <v>35</v>
      </c>
      <c r="B4" s="5">
        <f>100-C4-D4-E4-F4-G4-H4-I4-J4-K4-L4-M4-N4-O4-P4-Q4-R4-S4-T4-U4-V4-W4-X4-Y4-Z4</f>
        <v>92.984378449625439</v>
      </c>
      <c r="C4" s="7">
        <f>'opt 1'!C56</f>
        <v>1.7065113999954127</v>
      </c>
      <c r="D4" s="7">
        <f>'opt 1'!D56</f>
        <v>1.3120431447958443</v>
      </c>
      <c r="E4" s="7">
        <f>'opt 1'!E56</f>
        <v>0</v>
      </c>
      <c r="F4" s="7">
        <f>'opt 1'!F56</f>
        <v>0</v>
      </c>
      <c r="G4" s="7">
        <f>'opt 1'!G56</f>
        <v>0.89678499985164362</v>
      </c>
      <c r="H4" s="7">
        <f>'opt 1'!H56</f>
        <v>8.6931544255249328E-3</v>
      </c>
      <c r="I4" s="7">
        <f>'opt 1'!I56</f>
        <v>1.6794616947167066E-3</v>
      </c>
      <c r="J4" s="7">
        <f>'opt 1'!J56</f>
        <v>3.8447271121028644E-3</v>
      </c>
      <c r="K4" s="7">
        <f>'opt 1'!K56</f>
        <v>7.4725170084770382E-3</v>
      </c>
      <c r="L4" s="7">
        <f>'opt 1'!L56</f>
        <v>1.5683685932783833</v>
      </c>
      <c r="M4" s="7">
        <f>'opt 1'!M56</f>
        <v>2.2156732870228838E-3</v>
      </c>
      <c r="N4" s="7">
        <f>'opt 1'!N56</f>
        <v>1.3463994609868539</v>
      </c>
      <c r="O4" s="7">
        <f>'opt 1'!O56</f>
        <v>0.10663750344770533</v>
      </c>
      <c r="P4" s="7">
        <f>'opt 1'!P56</f>
        <v>0</v>
      </c>
      <c r="Q4" s="7">
        <f>'opt 1'!Q56</f>
        <v>5.4970914490871721E-2</v>
      </c>
      <c r="R4" s="7">
        <f>'opt 1'!R56</f>
        <v>0</v>
      </c>
      <c r="S4" s="7">
        <f>'opt 1'!S56</f>
        <v>0</v>
      </c>
      <c r="T4" s="7">
        <f>'opt 1'!T56</f>
        <v>0</v>
      </c>
      <c r="U4" s="7">
        <f>'opt 1'!U56</f>
        <v>0</v>
      </c>
      <c r="V4" s="7">
        <f>'opt 1'!V56</f>
        <v>0</v>
      </c>
      <c r="W4" s="7">
        <f>'opt 1'!W56</f>
        <v>0</v>
      </c>
      <c r="X4" s="7">
        <f>'opt 1'!X56</f>
        <v>0</v>
      </c>
      <c r="Y4" s="7">
        <f>'opt 1'!Y56</f>
        <v>0</v>
      </c>
      <c r="Z4" s="7">
        <f>'opt 1'!Z56</f>
        <v>0</v>
      </c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</row>
    <row r="5" spans="1:63" ht="21" x14ac:dyDescent="0.35">
      <c r="A5" s="7" t="s">
        <v>36</v>
      </c>
      <c r="B5" s="5">
        <f>100-C5-D5-E5-F5-G5-H5-I5-J5-K5-L5-M5-N5-O5</f>
        <v>93.039349364116319</v>
      </c>
      <c r="C5" s="149">
        <f>C4</f>
        <v>1.7065113999954127</v>
      </c>
      <c r="D5" s="158">
        <f>D4</f>
        <v>1.3120431447958443</v>
      </c>
      <c r="E5" s="159"/>
      <c r="F5" s="159"/>
      <c r="G5" s="159">
        <f>G4+E4+F4+H4+I4+J4+K4+M4+V4</f>
        <v>0.92069053337948803</v>
      </c>
      <c r="H5" s="159"/>
      <c r="I5" s="159"/>
      <c r="J5" s="149"/>
      <c r="K5" s="149"/>
      <c r="L5" s="7">
        <f>L4</f>
        <v>1.5683685932783833</v>
      </c>
      <c r="M5" s="7"/>
      <c r="N5" s="7">
        <f>N4+P4+R4+S4+T4+U4+W4+X4+Y4+Z4</f>
        <v>1.3463994609868539</v>
      </c>
      <c r="O5" s="7">
        <f>O4</f>
        <v>0.10663750344770533</v>
      </c>
      <c r="P5" s="7"/>
      <c r="Q5" s="7">
        <f>Q4</f>
        <v>5.4970914490871721E-2</v>
      </c>
      <c r="R5" s="89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</row>
    <row r="6" spans="1:63" ht="21" x14ac:dyDescent="0.35">
      <c r="A6" s="7"/>
      <c r="B6" s="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89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</row>
    <row r="7" spans="1:63" ht="21" x14ac:dyDescent="0.35">
      <c r="A7" s="7" t="s">
        <v>92</v>
      </c>
      <c r="B7" s="289">
        <f>100-C7-D7-E7-F7-G7-H7-I7-J7-K7-L7-M7-N7-O7-P7-Q7-R7-S7-T7-U7-V7-W7-X7-Y7-Z7</f>
        <v>91.676660124512821</v>
      </c>
      <c r="C7" s="156">
        <f>C2</f>
        <v>1.669449081803005</v>
      </c>
      <c r="D7" s="156"/>
      <c r="E7" s="156"/>
      <c r="F7" s="156"/>
      <c r="G7" s="156">
        <f>G2-E4-F4-H4-I4-J4-K4-M4-V4</f>
        <v>3.6488824464387664</v>
      </c>
      <c r="H7" s="156"/>
      <c r="I7" s="156"/>
      <c r="J7" s="156"/>
      <c r="K7" s="156"/>
      <c r="L7" s="156">
        <f>L2</f>
        <v>1.669449081803005</v>
      </c>
      <c r="M7" s="156">
        <f>M2</f>
        <v>0</v>
      </c>
      <c r="N7" s="156">
        <f>N2-P4-R4-S4-T4-U4-W4-X4-Y4-Z4</f>
        <v>1.335559265442404</v>
      </c>
      <c r="O7" s="156"/>
      <c r="P7" s="156"/>
      <c r="Q7" s="156"/>
      <c r="R7" s="177"/>
      <c r="S7" s="156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</row>
    <row r="8" spans="1:63" ht="18.75" x14ac:dyDescent="0.3">
      <c r="A8" s="7"/>
      <c r="B8" s="288">
        <f>100-SUM(C8:Z8)</f>
        <v>91.645708701773245</v>
      </c>
      <c r="C8" s="156">
        <f>C2-D4-E4-F4</f>
        <v>0.35740593700716072</v>
      </c>
      <c r="D8" s="156">
        <f>D2</f>
        <v>1.335559265442404</v>
      </c>
      <c r="E8" s="156">
        <f>E2</f>
        <v>0</v>
      </c>
      <c r="F8" s="156">
        <f>F2</f>
        <v>0</v>
      </c>
      <c r="G8" s="156">
        <f>G2-H4-I4-J4-K4</f>
        <v>3.6510981197257895</v>
      </c>
      <c r="H8" s="156">
        <f>H2</f>
        <v>0</v>
      </c>
      <c r="I8" s="156">
        <f>I2</f>
        <v>0</v>
      </c>
      <c r="J8" s="156">
        <f>J2</f>
        <v>0</v>
      </c>
      <c r="K8" s="156">
        <f>K2</f>
        <v>0</v>
      </c>
      <c r="L8" s="156">
        <f>L2</f>
        <v>1.669449081803005</v>
      </c>
      <c r="M8" s="156">
        <f>M2-P4-Q4-R4-S4-T4-U4-V4-W4-X4-Y4-Z4</f>
        <v>-5.4970914490871721E-2</v>
      </c>
      <c r="N8" s="156">
        <f>N2-O4</f>
        <v>1.2289217619946986</v>
      </c>
      <c r="O8" s="156">
        <f>O2</f>
        <v>0.11118530884808014</v>
      </c>
      <c r="P8" s="156">
        <f t="shared" ref="P8:Z8" si="1">P2</f>
        <v>0</v>
      </c>
      <c r="Q8" s="156">
        <f t="shared" si="1"/>
        <v>5.5642737896494154E-2</v>
      </c>
      <c r="R8" s="156">
        <f t="shared" si="1"/>
        <v>0</v>
      </c>
      <c r="S8" s="156">
        <f t="shared" si="1"/>
        <v>0</v>
      </c>
      <c r="T8" s="156">
        <f t="shared" si="1"/>
        <v>0</v>
      </c>
      <c r="U8" s="156">
        <f t="shared" si="1"/>
        <v>0</v>
      </c>
      <c r="V8" s="156">
        <f t="shared" si="1"/>
        <v>0</v>
      </c>
      <c r="W8" s="156">
        <f t="shared" si="1"/>
        <v>0</v>
      </c>
      <c r="X8" s="156">
        <f t="shared" si="1"/>
        <v>0</v>
      </c>
      <c r="Y8" s="156">
        <f t="shared" si="1"/>
        <v>0</v>
      </c>
      <c r="Z8" s="156">
        <f t="shared" si="1"/>
        <v>0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</row>
    <row r="9" spans="1:63" ht="18.75" x14ac:dyDescent="0.3">
      <c r="A9" s="7"/>
      <c r="B9" s="288"/>
      <c r="C9" s="172">
        <f>B8/C8</f>
        <v>256.41909999927367</v>
      </c>
      <c r="D9" s="172">
        <f>B8/D8</f>
        <v>68.619724390452717</v>
      </c>
      <c r="E9" s="172" t="e">
        <f>B8/E8</f>
        <v>#DIV/0!</v>
      </c>
      <c r="F9" s="172" t="e">
        <f>B8/F8</f>
        <v>#DIV/0!</v>
      </c>
      <c r="G9" s="173">
        <f>B8/G8</f>
        <v>25.100861630269243</v>
      </c>
      <c r="H9" s="173" t="e">
        <f>B8/H8</f>
        <v>#DIV/0!</v>
      </c>
      <c r="I9" s="173" t="e">
        <f>B8/I8</f>
        <v>#DIV/0!</v>
      </c>
      <c r="J9" s="160" t="e">
        <f>B8/J8</f>
        <v>#DIV/0!</v>
      </c>
      <c r="K9" s="160" t="e">
        <f>B8/K8</f>
        <v>#DIV/0!</v>
      </c>
      <c r="L9" s="160">
        <f>B8/L8</f>
        <v>54.895779512362175</v>
      </c>
      <c r="M9" s="160">
        <f>B8/M8</f>
        <v>-1667.1672565496724</v>
      </c>
      <c r="N9" s="160">
        <f>B8/N8</f>
        <v>74.57407911226214</v>
      </c>
      <c r="O9" s="160">
        <f>B8/O8</f>
        <v>824.26095363907154</v>
      </c>
      <c r="P9" s="7" t="e">
        <f>B8/P8</f>
        <v>#DIV/0!</v>
      </c>
      <c r="Q9" s="7">
        <f>B8/Q8</f>
        <v>1647.0380891797834</v>
      </c>
      <c r="R9" s="7" t="e">
        <f>B8/R8</f>
        <v>#DIV/0!</v>
      </c>
      <c r="S9" s="7" t="e">
        <f>B8/S8</f>
        <v>#DIV/0!</v>
      </c>
      <c r="T9" s="7" t="e">
        <f>B8/T8</f>
        <v>#DIV/0!</v>
      </c>
      <c r="U9" s="7" t="e">
        <f>B8/U8</f>
        <v>#DIV/0!</v>
      </c>
      <c r="V9" s="7" t="e">
        <f>B8/V8</f>
        <v>#DIV/0!</v>
      </c>
      <c r="W9" s="7" t="e">
        <f>B8/W8</f>
        <v>#DIV/0!</v>
      </c>
      <c r="X9" s="7" t="e">
        <f>B8/X8</f>
        <v>#DIV/0!</v>
      </c>
      <c r="Y9" s="7" t="e">
        <f>B8/Y8</f>
        <v>#DIV/0!</v>
      </c>
      <c r="Z9" s="7" t="e">
        <f>L8/Z8</f>
        <v>#DIV/0!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</row>
    <row r="10" spans="1:63" ht="18.75" x14ac:dyDescent="0.3">
      <c r="A10" s="7" t="s">
        <v>32</v>
      </c>
      <c r="B10" s="290" t="e">
        <f>C10+D10+J10+K10</f>
        <v>#DIV/0!</v>
      </c>
      <c r="C10" s="7">
        <f>599*B8/100/C9</f>
        <v>2.1408615626728924</v>
      </c>
      <c r="D10" s="7">
        <f>599*B8/100/D9</f>
        <v>8</v>
      </c>
      <c r="E10" s="7" t="e">
        <f>599*B8/100/E9</f>
        <v>#DIV/0!</v>
      </c>
      <c r="F10" s="7" t="e">
        <f>599*B8/100/F9</f>
        <v>#DIV/0!</v>
      </c>
      <c r="G10" s="7">
        <f>599*B8/100/G9</f>
        <v>21.870077737157477</v>
      </c>
      <c r="H10" s="7" t="e">
        <f>599*B8/100/H9</f>
        <v>#DIV/0!</v>
      </c>
      <c r="I10" s="7" t="e">
        <f>599*B8/100/I9</f>
        <v>#DIV/0!</v>
      </c>
      <c r="J10" s="7" t="e">
        <f>599*B8/100/J9</f>
        <v>#DIV/0!</v>
      </c>
      <c r="K10" s="7" t="e">
        <f>599*B8/100/K9</f>
        <v>#DIV/0!</v>
      </c>
      <c r="L10" s="7">
        <f>599*B8/100/L9</f>
        <v>10</v>
      </c>
      <c r="M10" s="7">
        <f>599*B8/100/M9</f>
        <v>-0.32927577780032163</v>
      </c>
      <c r="N10" s="7">
        <f>599*B8/100/N9</f>
        <v>7.3612413543482456</v>
      </c>
      <c r="O10" s="7">
        <f>599*B8/100/O9</f>
        <v>0.66600000000000015</v>
      </c>
      <c r="P10" s="7" t="e">
        <f>599*B8/100/P9</f>
        <v>#DIV/0!</v>
      </c>
      <c r="Q10" s="7">
        <f>599*B8/100/Q9</f>
        <v>0.33329999999999999</v>
      </c>
      <c r="R10" s="7" t="e">
        <f>599*B8/100/R9</f>
        <v>#DIV/0!</v>
      </c>
      <c r="S10" s="7" t="e">
        <f>599*B8/100/S9</f>
        <v>#DIV/0!</v>
      </c>
      <c r="T10" s="7" t="e">
        <f>599*B8/100/T9</f>
        <v>#DIV/0!</v>
      </c>
      <c r="U10" s="7" t="e">
        <f>599*B8/100/U9</f>
        <v>#DIV/0!</v>
      </c>
      <c r="V10" s="7" t="e">
        <f>599*B8/100/V9</f>
        <v>#DIV/0!</v>
      </c>
      <c r="W10" s="7" t="e">
        <f>599*B8/100/W9</f>
        <v>#DIV/0!</v>
      </c>
      <c r="X10" s="7" t="e">
        <f>599*B8/100/X9</f>
        <v>#DIV/0!</v>
      </c>
      <c r="Y10" s="7" t="e">
        <f>599*B8/100/Y9</f>
        <v>#DIV/0!</v>
      </c>
      <c r="Z10" s="7" t="e">
        <f>599*B8/100/Z9</f>
        <v>#DIV/0!</v>
      </c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</row>
    <row r="11" spans="1:63" ht="18.75" x14ac:dyDescent="0.3">
      <c r="A11" s="7" t="s">
        <v>33</v>
      </c>
      <c r="B11" s="5" t="s">
        <v>60</v>
      </c>
      <c r="C11" s="174"/>
      <c r="D11" s="175"/>
      <c r="E11" s="175" t="s">
        <v>170</v>
      </c>
      <c r="F11" s="175">
        <f>C10+D10</f>
        <v>10.140861562672892</v>
      </c>
      <c r="G11" s="175"/>
      <c r="H11" s="175"/>
      <c r="I11" s="175"/>
      <c r="J11" s="175" t="e">
        <f>J10+O10</f>
        <v>#DIV/0!</v>
      </c>
      <c r="K11" s="175"/>
      <c r="L11" s="175"/>
      <c r="M11" s="175"/>
      <c r="N11" s="175"/>
      <c r="O11" s="175"/>
      <c r="P11" s="175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</row>
    <row r="12" spans="1:63" ht="18.75" x14ac:dyDescent="0.3">
      <c r="A12" s="7"/>
      <c r="B12" s="289" t="s">
        <v>61</v>
      </c>
      <c r="C12" s="169" t="e">
        <f>K10+J10</f>
        <v>#DIV/0!</v>
      </c>
      <c r="D12" s="7"/>
      <c r="E12" s="170" t="s">
        <v>171</v>
      </c>
      <c r="F12" s="7" t="e">
        <f>C10+D10+E10</f>
        <v>#DIV/0!</v>
      </c>
      <c r="G12" s="7"/>
      <c r="H12" s="7" t="s">
        <v>179</v>
      </c>
      <c r="I12" s="7" t="s">
        <v>172</v>
      </c>
      <c r="J12" s="149" t="s">
        <v>13</v>
      </c>
      <c r="K12" s="149" t="s">
        <v>16</v>
      </c>
      <c r="L12" s="7"/>
      <c r="M12" s="7"/>
      <c r="N12" s="171" t="s">
        <v>15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</row>
    <row r="13" spans="1:63" ht="18.75" x14ac:dyDescent="0.3">
      <c r="A13" s="7"/>
      <c r="B13" s="5" t="s">
        <v>14</v>
      </c>
      <c r="C13" s="161" t="s">
        <v>56</v>
      </c>
      <c r="D13" s="161" t="s">
        <v>15</v>
      </c>
      <c r="E13" s="159" t="s">
        <v>8</v>
      </c>
      <c r="F13" s="161" t="s">
        <v>9</v>
      </c>
      <c r="G13" s="161" t="s">
        <v>57</v>
      </c>
      <c r="H13" s="159" t="s">
        <v>58</v>
      </c>
      <c r="I13" s="161" t="s">
        <v>77</v>
      </c>
      <c r="J13" s="159" t="s">
        <v>13</v>
      </c>
      <c r="K13" s="161" t="s">
        <v>16</v>
      </c>
      <c r="L13" s="161" t="s">
        <v>55</v>
      </c>
      <c r="M13" s="159" t="s">
        <v>44</v>
      </c>
      <c r="N13" s="159" t="s">
        <v>10</v>
      </c>
      <c r="O13" s="161" t="s">
        <v>12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</row>
    <row r="14" spans="1:63" ht="28.5" x14ac:dyDescent="0.45">
      <c r="A14" s="7" t="s">
        <v>39</v>
      </c>
      <c r="B14" s="5">
        <f>100-(C14+D14+E14+F14+G14+H14+I14+J14+K14+L14+M14+N14+O14)</f>
        <v>93.052895561662154</v>
      </c>
      <c r="C14" s="7">
        <f>C5-C1</f>
        <v>1.669449081803005</v>
      </c>
      <c r="D14" s="7">
        <f>D5-D1</f>
        <v>1.335559265442404</v>
      </c>
      <c r="E14" s="7">
        <f t="shared" ref="E14:I14" si="2">E5</f>
        <v>0</v>
      </c>
      <c r="F14" s="7">
        <f t="shared" si="2"/>
        <v>0</v>
      </c>
      <c r="G14" s="7">
        <f t="shared" si="2"/>
        <v>0.92069053337948803</v>
      </c>
      <c r="H14" s="7">
        <f t="shared" si="2"/>
        <v>0</v>
      </c>
      <c r="I14" s="7">
        <f t="shared" si="2"/>
        <v>0</v>
      </c>
      <c r="J14" s="7">
        <f>J5-J1</f>
        <v>0</v>
      </c>
      <c r="K14" s="7">
        <f>K5-K1</f>
        <v>0</v>
      </c>
      <c r="L14" s="7">
        <f t="shared" ref="L14:O14" si="3">L5</f>
        <v>1.5683685932783833</v>
      </c>
      <c r="M14" s="7">
        <f t="shared" si="3"/>
        <v>0</v>
      </c>
      <c r="N14" s="7">
        <f t="shared" si="3"/>
        <v>1.3463994609868539</v>
      </c>
      <c r="O14" s="7">
        <f t="shared" si="3"/>
        <v>0.10663750344770533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266" t="s">
        <v>14</v>
      </c>
      <c r="AB14" s="266" t="s">
        <v>15</v>
      </c>
      <c r="AC14" s="266" t="s">
        <v>8</v>
      </c>
      <c r="AD14" s="266" t="s">
        <v>9</v>
      </c>
      <c r="AE14" s="266" t="s">
        <v>234</v>
      </c>
      <c r="AF14" s="266" t="s">
        <v>56</v>
      </c>
      <c r="AG14" s="266" t="s">
        <v>57</v>
      </c>
      <c r="AH14" s="266" t="s">
        <v>58</v>
      </c>
      <c r="AI14" s="266" t="s">
        <v>77</v>
      </c>
      <c r="AJ14" s="267" t="s">
        <v>204</v>
      </c>
      <c r="AK14" s="266" t="s">
        <v>16</v>
      </c>
      <c r="AL14" s="266" t="s">
        <v>13</v>
      </c>
      <c r="AM14" s="266" t="s">
        <v>44</v>
      </c>
      <c r="AN14" s="266" t="s">
        <v>55</v>
      </c>
      <c r="AO14" s="266" t="s">
        <v>17</v>
      </c>
      <c r="AP14" s="266" t="s">
        <v>80</v>
      </c>
      <c r="AQ14" s="266" t="s">
        <v>81</v>
      </c>
      <c r="AR14" s="266" t="s">
        <v>82</v>
      </c>
      <c r="AS14" s="266" t="s">
        <v>83</v>
      </c>
      <c r="AT14" s="266" t="s">
        <v>45</v>
      </c>
      <c r="AU14" s="266" t="s">
        <v>43</v>
      </c>
      <c r="AV14" s="266" t="s">
        <v>12</v>
      </c>
      <c r="AW14" s="266" t="s">
        <v>0</v>
      </c>
      <c r="AX14" s="266" t="s">
        <v>11</v>
      </c>
      <c r="AY14" s="266" t="s">
        <v>10</v>
      </c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</row>
    <row r="15" spans="1:63" ht="21" x14ac:dyDescent="0.35">
      <c r="A15" s="7"/>
      <c r="B15" s="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189">
        <v>55.84</v>
      </c>
      <c r="AB15" s="89">
        <v>28.0855</v>
      </c>
      <c r="AC15" s="89">
        <v>58.693399999999997</v>
      </c>
      <c r="AD15" s="89">
        <v>63.545999999999999</v>
      </c>
      <c r="AE15" s="89">
        <v>65.38</v>
      </c>
      <c r="AF15" s="89">
        <v>12.01</v>
      </c>
      <c r="AG15" s="89">
        <v>30.973762000000001</v>
      </c>
      <c r="AH15" s="89">
        <v>32.064999999999998</v>
      </c>
      <c r="AI15" s="89">
        <v>14.0067</v>
      </c>
      <c r="AJ15" s="89">
        <v>10.81</v>
      </c>
      <c r="AK15" s="89">
        <v>54.938043999999998</v>
      </c>
      <c r="AL15" s="89">
        <v>24.305</v>
      </c>
      <c r="AM15" s="89">
        <v>51.996099999999998</v>
      </c>
      <c r="AN15" s="89">
        <v>95.95</v>
      </c>
      <c r="AO15" s="89">
        <v>47.866999999999997</v>
      </c>
      <c r="AP15" s="89">
        <v>50.941499999999998</v>
      </c>
      <c r="AQ15" s="89">
        <v>92.906369999999995</v>
      </c>
      <c r="AR15" s="89">
        <v>183.84</v>
      </c>
      <c r="AS15" s="89">
        <v>180.94788</v>
      </c>
      <c r="AT15" s="89">
        <v>91.224000000000004</v>
      </c>
      <c r="AU15" s="89">
        <v>58.933194999999998</v>
      </c>
      <c r="AV15" s="89">
        <v>26.981539999999999</v>
      </c>
      <c r="AW15" s="89">
        <v>121.76</v>
      </c>
      <c r="AX15" s="89">
        <v>207.2</v>
      </c>
      <c r="AY15" s="89">
        <v>118.71</v>
      </c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</row>
    <row r="16" spans="1:63" ht="18.75" x14ac:dyDescent="0.3">
      <c r="A16" s="7"/>
      <c r="B16" s="5">
        <v>91</v>
      </c>
      <c r="C16" s="152">
        <f>B16*100/599</f>
        <v>15.191986644407345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</row>
    <row r="17" spans="1:63" ht="18.75" x14ac:dyDescent="0.3">
      <c r="A17" s="7"/>
      <c r="B17" s="291" t="s">
        <v>14</v>
      </c>
      <c r="C17" s="210" t="s">
        <v>15</v>
      </c>
      <c r="D17" s="210" t="s">
        <v>8</v>
      </c>
      <c r="E17" s="210" t="s">
        <v>9</v>
      </c>
      <c r="F17" s="210" t="s">
        <v>234</v>
      </c>
      <c r="G17" s="210" t="s">
        <v>56</v>
      </c>
      <c r="H17" s="210" t="s">
        <v>57</v>
      </c>
      <c r="I17" s="210" t="s">
        <v>58</v>
      </c>
      <c r="J17" s="210" t="s">
        <v>77</v>
      </c>
      <c r="K17" s="210" t="s">
        <v>204</v>
      </c>
      <c r="L17" s="210" t="s">
        <v>16</v>
      </c>
      <c r="M17" s="210" t="s">
        <v>12</v>
      </c>
      <c r="N17" s="210" t="s">
        <v>44</v>
      </c>
      <c r="O17" s="210" t="s">
        <v>55</v>
      </c>
      <c r="P17" s="210" t="s">
        <v>17</v>
      </c>
      <c r="Q17" s="210" t="s">
        <v>80</v>
      </c>
      <c r="R17" s="210" t="s">
        <v>81</v>
      </c>
      <c r="S17" s="210" t="s">
        <v>82</v>
      </c>
      <c r="T17" s="210" t="s">
        <v>83</v>
      </c>
      <c r="U17" s="210" t="s">
        <v>45</v>
      </c>
      <c r="V17" s="210" t="s">
        <v>43</v>
      </c>
      <c r="W17" s="210" t="s">
        <v>13</v>
      </c>
      <c r="X17" s="210" t="s">
        <v>0</v>
      </c>
      <c r="Y17" s="210" t="s">
        <v>11</v>
      </c>
      <c r="Z17" s="210" t="s">
        <v>10</v>
      </c>
      <c r="AA17" s="211" t="s">
        <v>14</v>
      </c>
      <c r="AB17" s="212" t="s">
        <v>15</v>
      </c>
      <c r="AC17" s="213" t="s">
        <v>8</v>
      </c>
      <c r="AD17" s="214" t="s">
        <v>9</v>
      </c>
      <c r="AE17" s="213" t="s">
        <v>234</v>
      </c>
      <c r="AF17" s="213" t="s">
        <v>56</v>
      </c>
      <c r="AG17" s="214" t="s">
        <v>57</v>
      </c>
      <c r="AH17" s="213" t="s">
        <v>58</v>
      </c>
      <c r="AI17" s="215" t="s">
        <v>77</v>
      </c>
      <c r="AJ17" s="216" t="s">
        <v>204</v>
      </c>
      <c r="AK17" s="216" t="s">
        <v>16</v>
      </c>
      <c r="AL17" s="215" t="s">
        <v>13</v>
      </c>
      <c r="AM17" s="215" t="s">
        <v>44</v>
      </c>
      <c r="AN17" s="216" t="s">
        <v>55</v>
      </c>
      <c r="AO17" s="210" t="s">
        <v>17</v>
      </c>
      <c r="AP17" s="210" t="s">
        <v>80</v>
      </c>
      <c r="AQ17" s="210" t="s">
        <v>81</v>
      </c>
      <c r="AR17" s="210" t="s">
        <v>82</v>
      </c>
      <c r="AS17" s="210" t="s">
        <v>83</v>
      </c>
      <c r="AT17" s="210" t="s">
        <v>45</v>
      </c>
      <c r="AU17" s="210" t="s">
        <v>43</v>
      </c>
      <c r="AV17" s="210" t="s">
        <v>12</v>
      </c>
      <c r="AW17" s="210" t="s">
        <v>0</v>
      </c>
      <c r="AX17" s="210" t="s">
        <v>11</v>
      </c>
      <c r="AY17" s="210" t="s">
        <v>10</v>
      </c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</row>
    <row r="18" spans="1:63" ht="18.75" x14ac:dyDescent="0.3">
      <c r="A18" s="7"/>
      <c r="B18" s="292">
        <f>100-C18-D18-E18-F18-G18-H18-I18-J18-K18-L18-M18-N18-O18-P18-Q18-R18-S18-T18-U18-V18-W18-X18-Y18-Z18</f>
        <v>90.150367278798001</v>
      </c>
      <c r="C18" s="218">
        <f>C2</f>
        <v>1.669449081803005</v>
      </c>
      <c r="D18" s="218">
        <f>D2</f>
        <v>1.335559265442404</v>
      </c>
      <c r="E18" s="218">
        <f>E4</f>
        <v>0</v>
      </c>
      <c r="F18" s="218">
        <f>F4</f>
        <v>0</v>
      </c>
      <c r="G18" s="218">
        <f>G7</f>
        <v>3.6488824464387664</v>
      </c>
      <c r="H18" s="218">
        <f>H4</f>
        <v>8.6931544255249328E-3</v>
      </c>
      <c r="I18" s="218">
        <f>I4</f>
        <v>1.6794616947167066E-3</v>
      </c>
      <c r="J18" s="218">
        <f>J4</f>
        <v>3.8447271121028644E-3</v>
      </c>
      <c r="K18" s="218">
        <f>K4</f>
        <v>7.4725170084770382E-3</v>
      </c>
      <c r="L18" s="218">
        <f>L2</f>
        <v>1.669449081803005</v>
      </c>
      <c r="M18" s="218">
        <f>M4</f>
        <v>2.2156732870228838E-3</v>
      </c>
      <c r="N18" s="218">
        <f>N7</f>
        <v>1.335559265442404</v>
      </c>
      <c r="O18" s="218">
        <f>O2</f>
        <v>0.11118530884808014</v>
      </c>
      <c r="P18" s="218">
        <f t="shared" ref="P18:Z18" si="4">P4</f>
        <v>0</v>
      </c>
      <c r="Q18" s="218">
        <f>Q2</f>
        <v>5.5642737896494154E-2</v>
      </c>
      <c r="R18" s="218">
        <f t="shared" si="4"/>
        <v>0</v>
      </c>
      <c r="S18" s="218">
        <f t="shared" si="4"/>
        <v>0</v>
      </c>
      <c r="T18" s="218">
        <f t="shared" si="4"/>
        <v>0</v>
      </c>
      <c r="U18" s="218">
        <f t="shared" si="4"/>
        <v>0</v>
      </c>
      <c r="V18" s="218">
        <f t="shared" si="4"/>
        <v>0</v>
      </c>
      <c r="W18" s="218">
        <f t="shared" si="4"/>
        <v>0</v>
      </c>
      <c r="X18" s="218">
        <f t="shared" si="4"/>
        <v>0</v>
      </c>
      <c r="Y18" s="218">
        <f t="shared" si="4"/>
        <v>0</v>
      </c>
      <c r="Z18" s="218">
        <f t="shared" si="4"/>
        <v>0</v>
      </c>
      <c r="AA18" s="219">
        <v>55.84</v>
      </c>
      <c r="AB18" s="219">
        <v>28.0855</v>
      </c>
      <c r="AC18" s="219">
        <v>58.693399999999997</v>
      </c>
      <c r="AD18" s="219">
        <v>63.545999999999999</v>
      </c>
      <c r="AE18" s="219">
        <v>65.38</v>
      </c>
      <c r="AF18" s="219">
        <v>12.01</v>
      </c>
      <c r="AG18" s="219">
        <v>30.973762000000001</v>
      </c>
      <c r="AH18" s="219">
        <v>32.064999999999998</v>
      </c>
      <c r="AI18" s="219">
        <v>14.0067</v>
      </c>
      <c r="AJ18" s="219">
        <v>10.81</v>
      </c>
      <c r="AK18" s="219">
        <v>54.938043999999998</v>
      </c>
      <c r="AL18" s="219">
        <v>24.305</v>
      </c>
      <c r="AM18" s="219">
        <v>51.996099999999998</v>
      </c>
      <c r="AN18" s="219">
        <v>95.95</v>
      </c>
      <c r="AO18" s="220">
        <v>47.866999999999997</v>
      </c>
      <c r="AP18" s="220">
        <v>50.941499999999998</v>
      </c>
      <c r="AQ18" s="220">
        <v>92.906369999999995</v>
      </c>
      <c r="AR18" s="220">
        <v>183.84</v>
      </c>
      <c r="AS18" s="220">
        <v>180.94788</v>
      </c>
      <c r="AT18" s="220">
        <v>91.224000000000004</v>
      </c>
      <c r="AU18" s="220">
        <v>58.933194999999998</v>
      </c>
      <c r="AV18" s="220">
        <v>26.981539999999999</v>
      </c>
      <c r="AW18" s="219">
        <v>121.76</v>
      </c>
      <c r="AX18" s="219">
        <v>207.2</v>
      </c>
      <c r="AY18" s="219">
        <v>118.71</v>
      </c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</row>
    <row r="19" spans="1:63" ht="18.75" x14ac:dyDescent="0.3">
      <c r="A19" s="7"/>
      <c r="B19" s="292">
        <f>100*((((B18)*(AA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93.598807806106691</v>
      </c>
      <c r="C19" s="217">
        <f>100*((((C18)*(AB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0.8717917293387516</v>
      </c>
      <c r="D19" s="217">
        <f>100*((((D18)*(AC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1.4575042833282961</v>
      </c>
      <c r="E19" s="217">
        <f>100*((((E18)*(AD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F19" s="217">
        <f>100*((((F18)*(AE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G19" s="217">
        <f>100*((((G18)*(AF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0.81481738515196134</v>
      </c>
      <c r="H19" s="217">
        <f>100*((((H18)*(AG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5.0064370348226889E-3</v>
      </c>
      <c r="I19" s="217">
        <f>100*((((I18)*(AH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1.0012874069645378E-3</v>
      </c>
      <c r="J19" s="217">
        <f>100*((((J18)*(AI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1.0012874069645376E-3</v>
      </c>
      <c r="K19" s="217">
        <f>100*((((K18)*(AJ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1.5019311104468066E-3</v>
      </c>
      <c r="L19" s="217">
        <f>100*((((L18)*(AK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1.7053117226059147</v>
      </c>
      <c r="M19" s="217">
        <f>100*((((M18)*(AL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1.0012874069645376E-3</v>
      </c>
      <c r="N19" s="217">
        <f>100*((((N18)*(AM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1.2911935322602954</v>
      </c>
      <c r="O19" s="217">
        <f>100*((((O18)*(AN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0.19835803294374477</v>
      </c>
      <c r="P19" s="217">
        <f>100*((((P18)*(AO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Q19" s="217">
        <f>100*((((Q18)*(AP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5.2703277898170461E-2</v>
      </c>
      <c r="R19" s="217">
        <f>100*((((R18)*(AQ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S19" s="217">
        <f>100*((((S18)*(AR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T19" s="217">
        <f>100*((((T18)*(AS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U19" s="217">
        <f>100*((((U18)*(AT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V19" s="217">
        <f>100*((((V18)*(AU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W19" s="217">
        <f>100*((((W18)*(AV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X19" s="219">
        <f>100*((((X18)*(AW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Y19" s="219">
        <f>100*((((Y18)*(AX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Z19" s="219">
        <f>100*((((Z18)*(AY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</row>
    <row r="20" spans="1:63" ht="18.75" x14ac:dyDescent="0.3">
      <c r="A20" s="7"/>
      <c r="B20" s="5"/>
      <c r="C20" s="7"/>
      <c r="D20" s="7"/>
      <c r="E20" s="7">
        <f>E19/'opt 1'!G6</f>
        <v>0</v>
      </c>
      <c r="F20" s="7">
        <f>F19/'opt 1'!G6</f>
        <v>0</v>
      </c>
      <c r="G20" s="7">
        <f>G19/'opt 1'!G6</f>
        <v>0.79814729822576547</v>
      </c>
      <c r="H20" s="7">
        <f>H19/'opt 1'!G6</f>
        <v>4.904011949052758E-3</v>
      </c>
      <c r="I20" s="7">
        <f>I19/'opt 1'!G6</f>
        <v>9.808023898105517E-4</v>
      </c>
      <c r="J20" s="7"/>
      <c r="K20" s="7"/>
      <c r="L20" s="7">
        <f>L19/'opt 1'!G6</f>
        <v>1.6704232983158516</v>
      </c>
      <c r="M20" s="7">
        <f>M19/'opt 1'!G6</f>
        <v>9.8080238981055148E-4</v>
      </c>
      <c r="N20" s="7">
        <f>N19/'opt 1'!G6</f>
        <v>1.2647774188911547</v>
      </c>
      <c r="O20" s="7">
        <f>O19/'opt 1'!G6</f>
        <v>0.19429988971811296</v>
      </c>
      <c r="P20" s="7">
        <f>P19/'opt 1'!G6</f>
        <v>0</v>
      </c>
      <c r="Q20" s="7">
        <f>Q19/'opt 1'!G6</f>
        <v>5.1625038479292444E-2</v>
      </c>
      <c r="R20" s="7">
        <f>R19/'opt 1'!G6</f>
        <v>0</v>
      </c>
      <c r="S20" s="7">
        <f>S19/'opt 1'!G6</f>
        <v>0</v>
      </c>
      <c r="T20" s="7">
        <f>T19/'opt 1'!G6</f>
        <v>0</v>
      </c>
      <c r="U20" s="7">
        <f>U19/'opt 1'!G6</f>
        <v>0</v>
      </c>
      <c r="V20" s="7">
        <f>V19/'opt 1'!G6</f>
        <v>0</v>
      </c>
      <c r="W20" s="7">
        <f>W19/'opt 1'!G6</f>
        <v>0</v>
      </c>
      <c r="X20" s="7">
        <f>X19/'opt 1'!G6</f>
        <v>0</v>
      </c>
      <c r="Y20" s="7">
        <f>Y19/'opt 1'!G6</f>
        <v>0</v>
      </c>
      <c r="Z20" s="7">
        <f>Z19/'opt 1'!G6</f>
        <v>0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</row>
    <row r="21" spans="1:63" ht="18.75" x14ac:dyDescent="0.3">
      <c r="A21" s="7"/>
      <c r="B21" s="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</row>
    <row r="22" spans="1:63" ht="18.75" x14ac:dyDescent="0.3">
      <c r="A22" s="7">
        <f>'OK OK'!A8</f>
        <v>0</v>
      </c>
      <c r="B22" s="7" t="str">
        <f>'OK OK'!B8</f>
        <v>Fe</v>
      </c>
      <c r="C22" s="7" t="str">
        <f>'OK OK'!C8</f>
        <v>Si</v>
      </c>
      <c r="D22" s="7" t="str">
        <f>'OK OK'!D8</f>
        <v>Ni</v>
      </c>
      <c r="E22" s="7" t="str">
        <f>'OK OK'!E8</f>
        <v>Cu</v>
      </c>
      <c r="F22" s="7" t="str">
        <f>'OK OK'!F8</f>
        <v>Zn</v>
      </c>
      <c r="G22" s="7" t="str">
        <f>'OK OK'!G8</f>
        <v>C</v>
      </c>
      <c r="H22" s="7" t="str">
        <f>'OK OK'!H8</f>
        <v>P</v>
      </c>
      <c r="I22" s="7" t="str">
        <f>'OK OK'!I8</f>
        <v>S</v>
      </c>
      <c r="J22" s="7" t="str">
        <f>'OK OK'!J8</f>
        <v>N</v>
      </c>
      <c r="K22" s="7" t="str">
        <f>'OK OK'!K8</f>
        <v>B</v>
      </c>
      <c r="L22" s="7" t="str">
        <f>'OK OK'!L8</f>
        <v>Mn</v>
      </c>
      <c r="M22" s="7" t="str">
        <f>'OK OK'!M8</f>
        <v>Mg</v>
      </c>
      <c r="N22" s="7" t="str">
        <f>'OK OK'!N8</f>
        <v>Cr</v>
      </c>
      <c r="O22" s="7" t="str">
        <f>'OK OK'!O8</f>
        <v>Mo</v>
      </c>
      <c r="P22" s="7" t="str">
        <f>'OK OK'!P8</f>
        <v>Ti</v>
      </c>
      <c r="Q22" s="7" t="str">
        <f>'OK OK'!Q8</f>
        <v>V</v>
      </c>
      <c r="R22" s="7" t="str">
        <f>'OK OK'!R8</f>
        <v>Nb</v>
      </c>
      <c r="S22" s="7" t="str">
        <f>'OK OK'!S8</f>
        <v>W</v>
      </c>
      <c r="T22" s="7" t="str">
        <f>'OK OK'!T8</f>
        <v>Ta</v>
      </c>
      <c r="U22" s="7" t="str">
        <f>'OK OK'!U8</f>
        <v>Zr</v>
      </c>
      <c r="V22" s="7" t="str">
        <f>'OK OK'!V8</f>
        <v>Co</v>
      </c>
      <c r="W22" s="7" t="str">
        <f>'OK OK'!W8</f>
        <v>La</v>
      </c>
      <c r="X22" s="7" t="str">
        <f>'OK OK'!X8</f>
        <v>Sb</v>
      </c>
      <c r="Y22" s="7" t="str">
        <f>'OK OK'!Y8</f>
        <v>Pb</v>
      </c>
      <c r="Z22" s="7" t="str">
        <f>'OK OK'!Z8</f>
        <v>Sn</v>
      </c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</row>
    <row r="23" spans="1:63" ht="18.75" x14ac:dyDescent="0.3">
      <c r="A23" s="7" t="str">
        <f>'OK OK'!A9</f>
        <v>Optimized composition</v>
      </c>
      <c r="B23" s="7">
        <f>'OK OK'!B9</f>
        <v>93.598807806106706</v>
      </c>
      <c r="C23" s="7">
        <f>'OK OK'!C9</f>
        <v>0.8717917293387516</v>
      </c>
      <c r="D23" s="7">
        <f>'OK OK'!D9</f>
        <v>1.4575042833282961</v>
      </c>
      <c r="E23" s="7">
        <f>'OK OK'!E9</f>
        <v>0</v>
      </c>
      <c r="F23" s="7">
        <f>'OK OK'!F9</f>
        <v>0</v>
      </c>
      <c r="G23" s="7">
        <f>'OK OK'!G9</f>
        <v>0.81481738515196134</v>
      </c>
      <c r="H23" s="7">
        <f>'OK OK'!H9</f>
        <v>5.0064370348226889E-3</v>
      </c>
      <c r="I23" s="7">
        <f>'OK OK'!I9</f>
        <v>1.0012874069645378E-3</v>
      </c>
      <c r="J23" s="7">
        <f>'OK OK'!J9</f>
        <v>1.0012874069645376E-3</v>
      </c>
      <c r="K23" s="7">
        <f>'OK OK'!K9</f>
        <v>1.5019311104468066E-3</v>
      </c>
      <c r="L23" s="7">
        <f>'OK OK'!L9</f>
        <v>1.7053117226059147</v>
      </c>
      <c r="M23" s="7">
        <f>'OK OK'!M9</f>
        <v>1.0012874069645376E-3</v>
      </c>
      <c r="N23" s="7">
        <f>'OK OK'!N9</f>
        <v>1.2911935322602954</v>
      </c>
      <c r="O23" s="7">
        <f>'OK OK'!O9</f>
        <v>0.19835803294374477</v>
      </c>
      <c r="P23" s="7">
        <f>'OK OK'!P9</f>
        <v>0</v>
      </c>
      <c r="Q23" s="7">
        <f>'OK OK'!Q9</f>
        <v>5.2703277898170461E-2</v>
      </c>
      <c r="R23" s="7">
        <f>'OK OK'!R9</f>
        <v>0</v>
      </c>
      <c r="S23" s="7">
        <f>'OK OK'!S9</f>
        <v>0</v>
      </c>
      <c r="T23" s="7">
        <f>'OK OK'!T9</f>
        <v>0</v>
      </c>
      <c r="U23" s="7">
        <f>'OK OK'!U9</f>
        <v>0</v>
      </c>
      <c r="V23" s="7">
        <f>'OK OK'!V9</f>
        <v>0</v>
      </c>
      <c r="W23" s="7">
        <f>'OK OK'!W9</f>
        <v>0</v>
      </c>
      <c r="X23" s="7">
        <f>'OK OK'!X9</f>
        <v>0</v>
      </c>
      <c r="Y23" s="7">
        <f>'OK OK'!Y9</f>
        <v>0</v>
      </c>
      <c r="Z23" s="7">
        <f>'OK OK'!Z9</f>
        <v>0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</row>
    <row r="24" spans="1:63" ht="18.75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</row>
    <row r="25" spans="1:63" ht="18.75" x14ac:dyDescent="0.3">
      <c r="A25" s="7"/>
      <c r="B25" s="176" t="s">
        <v>14</v>
      </c>
      <c r="C25" s="176" t="s">
        <v>56</v>
      </c>
      <c r="D25" s="176" t="s">
        <v>15</v>
      </c>
      <c r="E25" s="176" t="s">
        <v>8</v>
      </c>
      <c r="F25" s="176" t="s">
        <v>9</v>
      </c>
      <c r="G25" s="176" t="s">
        <v>57</v>
      </c>
      <c r="H25" s="176" t="s">
        <v>58</v>
      </c>
      <c r="I25" s="176" t="s">
        <v>77</v>
      </c>
      <c r="J25" s="176" t="s">
        <v>13</v>
      </c>
      <c r="K25" s="176" t="s">
        <v>16</v>
      </c>
      <c r="L25" s="176" t="s">
        <v>55</v>
      </c>
      <c r="M25" s="176" t="s">
        <v>44</v>
      </c>
      <c r="N25" s="176" t="s">
        <v>10</v>
      </c>
      <c r="O25" s="176" t="s">
        <v>12</v>
      </c>
      <c r="P25" s="176" t="s">
        <v>80</v>
      </c>
      <c r="Q25" s="176" t="s">
        <v>81</v>
      </c>
      <c r="R25" s="176" t="s">
        <v>82</v>
      </c>
      <c r="S25" s="176" t="s">
        <v>83</v>
      </c>
      <c r="T25" s="176" t="s">
        <v>45</v>
      </c>
      <c r="U25" s="176" t="s">
        <v>17</v>
      </c>
      <c r="V25" s="176" t="s">
        <v>84</v>
      </c>
      <c r="W25" s="176" t="s">
        <v>0</v>
      </c>
      <c r="X25" s="176" t="s">
        <v>11</v>
      </c>
      <c r="Y25" s="176" t="s">
        <v>10</v>
      </c>
      <c r="Z25" s="176" t="s">
        <v>46</v>
      </c>
      <c r="AA25" s="162" t="s">
        <v>14</v>
      </c>
      <c r="AB25" s="163" t="s">
        <v>56</v>
      </c>
      <c r="AC25" s="164" t="s">
        <v>15</v>
      </c>
      <c r="AD25" s="165" t="s">
        <v>8</v>
      </c>
      <c r="AE25" s="164" t="s">
        <v>9</v>
      </c>
      <c r="AF25" s="164" t="s">
        <v>57</v>
      </c>
      <c r="AG25" s="165" t="s">
        <v>58</v>
      </c>
      <c r="AH25" s="164" t="s">
        <v>77</v>
      </c>
      <c r="AI25" s="166" t="s">
        <v>204</v>
      </c>
      <c r="AJ25" s="167" t="s">
        <v>16</v>
      </c>
      <c r="AK25" s="167" t="s">
        <v>55</v>
      </c>
      <c r="AL25" s="168" t="s">
        <v>44</v>
      </c>
      <c r="AM25" s="168" t="s">
        <v>43</v>
      </c>
      <c r="AN25" s="167" t="s">
        <v>12</v>
      </c>
      <c r="AO25" s="157" t="s">
        <v>80</v>
      </c>
      <c r="AP25" s="157" t="s">
        <v>81</v>
      </c>
      <c r="AQ25" s="157" t="s">
        <v>82</v>
      </c>
      <c r="AR25" s="157" t="s">
        <v>83</v>
      </c>
      <c r="AS25" s="157" t="s">
        <v>45</v>
      </c>
      <c r="AT25" s="157" t="s">
        <v>17</v>
      </c>
      <c r="AU25" s="157" t="s">
        <v>13</v>
      </c>
      <c r="AV25" s="157" t="s">
        <v>0</v>
      </c>
      <c r="AW25" s="157" t="s">
        <v>11</v>
      </c>
      <c r="AX25" s="157" t="s">
        <v>10</v>
      </c>
      <c r="AY25" s="157" t="s">
        <v>46</v>
      </c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</row>
    <row r="26" spans="1:63" ht="18.75" x14ac:dyDescent="0.3">
      <c r="A26" s="7"/>
      <c r="B26" s="160">
        <f>100-C26-D26-E26-F26-G26-H26-I26-J26-K26-L26-M26-N26-O26-P26-Q26-R26-S26-T26-U26-V26-W26-X26-Y26-Z26</f>
        <v>93.598807806106706</v>
      </c>
      <c r="C26" s="156">
        <f>C23</f>
        <v>0.8717917293387516</v>
      </c>
      <c r="D26" s="156">
        <f>D23</f>
        <v>1.4575042833282961</v>
      </c>
      <c r="E26" s="156">
        <f t="shared" ref="E26:Z26" si="5">E23</f>
        <v>0</v>
      </c>
      <c r="F26" s="156">
        <f t="shared" si="5"/>
        <v>0</v>
      </c>
      <c r="G26" s="156">
        <f t="shared" si="5"/>
        <v>0.81481738515196134</v>
      </c>
      <c r="H26" s="156">
        <f t="shared" si="5"/>
        <v>5.0064370348226889E-3</v>
      </c>
      <c r="I26" s="156">
        <f t="shared" si="5"/>
        <v>1.0012874069645378E-3</v>
      </c>
      <c r="J26" s="156">
        <f t="shared" si="5"/>
        <v>1.0012874069645376E-3</v>
      </c>
      <c r="K26" s="156">
        <f t="shared" si="5"/>
        <v>1.5019311104468066E-3</v>
      </c>
      <c r="L26" s="156">
        <f t="shared" si="5"/>
        <v>1.7053117226059147</v>
      </c>
      <c r="M26" s="156">
        <f t="shared" si="5"/>
        <v>1.0012874069645376E-3</v>
      </c>
      <c r="N26" s="156">
        <f t="shared" si="5"/>
        <v>1.2911935322602954</v>
      </c>
      <c r="O26" s="156">
        <f t="shared" si="5"/>
        <v>0.19835803294374477</v>
      </c>
      <c r="P26" s="156">
        <f t="shared" si="5"/>
        <v>0</v>
      </c>
      <c r="Q26" s="156">
        <f t="shared" si="5"/>
        <v>5.2703277898170461E-2</v>
      </c>
      <c r="R26" s="156">
        <f t="shared" si="5"/>
        <v>0</v>
      </c>
      <c r="S26" s="156">
        <f t="shared" si="5"/>
        <v>0</v>
      </c>
      <c r="T26" s="156">
        <f t="shared" si="5"/>
        <v>0</v>
      </c>
      <c r="U26" s="156">
        <f t="shared" si="5"/>
        <v>0</v>
      </c>
      <c r="V26" s="156">
        <f t="shared" si="5"/>
        <v>0</v>
      </c>
      <c r="W26" s="156">
        <f t="shared" si="5"/>
        <v>0</v>
      </c>
      <c r="X26" s="156">
        <f t="shared" si="5"/>
        <v>0</v>
      </c>
      <c r="Y26" s="156">
        <f t="shared" si="5"/>
        <v>0</v>
      </c>
      <c r="Z26" s="156">
        <f t="shared" si="5"/>
        <v>0</v>
      </c>
      <c r="AA26" s="68">
        <v>55.84</v>
      </c>
      <c r="AB26" s="7">
        <v>12.01</v>
      </c>
      <c r="AC26" s="7">
        <v>28.0855</v>
      </c>
      <c r="AD26" s="7">
        <v>58.693399999999997</v>
      </c>
      <c r="AE26" s="7">
        <v>63.545999999999999</v>
      </c>
      <c r="AF26" s="7">
        <v>30.973762000000001</v>
      </c>
      <c r="AG26" s="7">
        <v>32.064999999999998</v>
      </c>
      <c r="AH26" s="7">
        <v>14.0067</v>
      </c>
      <c r="AI26" s="7">
        <v>10.81</v>
      </c>
      <c r="AJ26" s="7">
        <v>54.938043999999998</v>
      </c>
      <c r="AK26" s="7">
        <v>95.95</v>
      </c>
      <c r="AL26" s="7">
        <v>51.996099999999998</v>
      </c>
      <c r="AM26" s="7">
        <v>58.933194999999998</v>
      </c>
      <c r="AN26" s="7">
        <v>26.981539999999999</v>
      </c>
      <c r="AO26" s="7">
        <v>50.941499999999998</v>
      </c>
      <c r="AP26" s="7">
        <v>92.906369999999995</v>
      </c>
      <c r="AQ26" s="7">
        <v>183.84</v>
      </c>
      <c r="AR26" s="7">
        <v>180.94788</v>
      </c>
      <c r="AS26" s="7">
        <v>91.224000000000004</v>
      </c>
      <c r="AT26" s="7">
        <v>47.866999999999997</v>
      </c>
      <c r="AU26" s="7">
        <v>24.305</v>
      </c>
      <c r="AV26" s="7">
        <v>121.76</v>
      </c>
      <c r="AW26" s="7">
        <v>207.2</v>
      </c>
      <c r="AX26" s="7">
        <v>118.71</v>
      </c>
      <c r="AY26" s="7">
        <v>208.9804</v>
      </c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</row>
    <row r="27" spans="1:63" ht="18.75" x14ac:dyDescent="0.3">
      <c r="A27" s="7"/>
      <c r="B27" s="160">
        <f>100*((((B26)/(AA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89.399273857718427</v>
      </c>
      <c r="C27" s="160">
        <f>100*((((C26)/(AB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3.8714960544672925</v>
      </c>
      <c r="D27" s="160">
        <f>100*((((D26)/(AC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2.7678131200648619</v>
      </c>
      <c r="E27" s="160">
        <f>100*((((E26)/(AD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0</v>
      </c>
      <c r="F27" s="160">
        <f>100*((((F26)/(AE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0</v>
      </c>
      <c r="G27" s="160">
        <f>100*((((G26)/(AF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1.4030573188394275</v>
      </c>
      <c r="H27" s="160">
        <f>100*((((H26)/(AG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8.327345773045898E-3</v>
      </c>
      <c r="I27" s="160">
        <f>100*((((I26)/(AH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3.8126945278005057E-3</v>
      </c>
      <c r="J27" s="160">
        <f>100*((((J26)/(AI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4.9401728438985496E-3</v>
      </c>
      <c r="K27" s="160">
        <f>100*((((K26)/(AJ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1.4580952802727197E-3</v>
      </c>
      <c r="L27" s="160">
        <f>100*((((L26)/(AK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0.9479116967005331</v>
      </c>
      <c r="M27" s="160">
        <f>100*((((M26)/(AL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1.02706296130947E-3</v>
      </c>
      <c r="N27" s="160">
        <f>100*((((N26)/(AM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1.1685315406945884</v>
      </c>
      <c r="O27" s="160">
        <f>100*((((O26)/(AN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0.39209575715707257</v>
      </c>
      <c r="P27" s="160">
        <f>100*((((P26)/(AO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0</v>
      </c>
      <c r="Q27" s="160">
        <f>100*((((Q26)/(AP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3.0255282971448558E-2</v>
      </c>
      <c r="R27" s="160">
        <f>100*((((R26)/(AQ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0</v>
      </c>
      <c r="S27" s="160">
        <f>100*((((S26)/(AR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0</v>
      </c>
      <c r="T27" s="160">
        <f>100*((((T26)/(AS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0</v>
      </c>
      <c r="U27" s="160">
        <f>100*((((U26)/(AT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0</v>
      </c>
      <c r="V27" s="160">
        <f>100*((((V26)/(AU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0</v>
      </c>
      <c r="W27" s="160">
        <f>100*((((W26)/(AV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0</v>
      </c>
      <c r="X27" s="7">
        <f>100*((((X26)/(AW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0</v>
      </c>
      <c r="Y27" s="7">
        <f>100*((((Y26)/(AX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0</v>
      </c>
      <c r="Z27" s="7">
        <f>100*((((Z26)/(AY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0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</row>
    <row r="28" spans="1:63" ht="18.75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</row>
    <row r="29" spans="1:63" ht="18.75" x14ac:dyDescent="0.3">
      <c r="A29" s="7" t="s">
        <v>162</v>
      </c>
      <c r="B29" s="7">
        <f>E4+F4+G4+H4+I4</f>
        <v>0.90715761597188527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</row>
    <row r="30" spans="1:63" ht="18.75" x14ac:dyDescent="0.3">
      <c r="A30" s="7" t="s">
        <v>163</v>
      </c>
      <c r="B30" s="7">
        <f>E27+F27+G27+H27+I27</f>
        <v>1.415197359140274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</row>
    <row r="31" spans="1:63" ht="18.75" x14ac:dyDescent="0.3">
      <c r="A31" s="7" t="s">
        <v>164</v>
      </c>
      <c r="B31" s="7">
        <f>B29-B30</f>
        <v>-0.50803974316838874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</row>
    <row r="32" spans="1:63" ht="18.75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</row>
    <row r="33" spans="1:63" ht="18.75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</row>
    <row r="34" spans="1:63" ht="18.75" x14ac:dyDescent="0.3">
      <c r="A34" s="7"/>
      <c r="B34" s="155" t="s">
        <v>14</v>
      </c>
      <c r="C34" s="155" t="s">
        <v>56</v>
      </c>
      <c r="D34" s="155" t="s">
        <v>15</v>
      </c>
      <c r="E34" s="155" t="s">
        <v>8</v>
      </c>
      <c r="F34" s="155" t="s">
        <v>9</v>
      </c>
      <c r="G34" s="155" t="s">
        <v>57</v>
      </c>
      <c r="H34" s="155" t="s">
        <v>58</v>
      </c>
      <c r="I34" s="155" t="s">
        <v>77</v>
      </c>
      <c r="J34" s="155" t="s">
        <v>13</v>
      </c>
      <c r="K34" s="155" t="s">
        <v>16</v>
      </c>
      <c r="L34" s="155" t="s">
        <v>55</v>
      </c>
      <c r="M34" s="155" t="s">
        <v>44</v>
      </c>
      <c r="N34" s="155" t="s">
        <v>43</v>
      </c>
      <c r="O34" s="155" t="s">
        <v>12</v>
      </c>
      <c r="P34" s="157" t="s">
        <v>80</v>
      </c>
      <c r="Q34" s="157" t="s">
        <v>81</v>
      </c>
      <c r="R34" s="157" t="s">
        <v>82</v>
      </c>
      <c r="S34" s="157" t="s">
        <v>83</v>
      </c>
      <c r="T34" s="157" t="s">
        <v>45</v>
      </c>
      <c r="U34" s="157" t="s">
        <v>17</v>
      </c>
      <c r="V34" s="157" t="s">
        <v>84</v>
      </c>
      <c r="W34" s="157" t="s">
        <v>0</v>
      </c>
      <c r="X34" s="157" t="s">
        <v>11</v>
      </c>
      <c r="Y34" s="157" t="s">
        <v>10</v>
      </c>
      <c r="Z34" s="157" t="s">
        <v>46</v>
      </c>
      <c r="AA34" s="162" t="s">
        <v>14</v>
      </c>
      <c r="AB34" s="163" t="s">
        <v>56</v>
      </c>
      <c r="AC34" s="164" t="s">
        <v>15</v>
      </c>
      <c r="AD34" s="165" t="s">
        <v>8</v>
      </c>
      <c r="AE34" s="164" t="s">
        <v>9</v>
      </c>
      <c r="AF34" s="164" t="s">
        <v>57</v>
      </c>
      <c r="AG34" s="165" t="s">
        <v>58</v>
      </c>
      <c r="AH34" s="164" t="s">
        <v>77</v>
      </c>
      <c r="AI34" s="166" t="s">
        <v>13</v>
      </c>
      <c r="AJ34" s="167" t="s">
        <v>16</v>
      </c>
      <c r="AK34" s="167" t="s">
        <v>55</v>
      </c>
      <c r="AL34" s="168" t="s">
        <v>44</v>
      </c>
      <c r="AM34" s="168" t="s">
        <v>43</v>
      </c>
      <c r="AN34" s="167" t="s">
        <v>12</v>
      </c>
      <c r="AO34" s="157" t="s">
        <v>80</v>
      </c>
      <c r="AP34" s="157" t="s">
        <v>81</v>
      </c>
      <c r="AQ34" s="157" t="s">
        <v>82</v>
      </c>
      <c r="AR34" s="157" t="s">
        <v>83</v>
      </c>
      <c r="AS34" s="157" t="s">
        <v>45</v>
      </c>
      <c r="AT34" s="157" t="s">
        <v>17</v>
      </c>
      <c r="AU34" s="157" t="s">
        <v>84</v>
      </c>
      <c r="AV34" s="157" t="s">
        <v>0</v>
      </c>
      <c r="AW34" s="157" t="s">
        <v>11</v>
      </c>
      <c r="AX34" s="157" t="s">
        <v>10</v>
      </c>
      <c r="AY34" s="157" t="s">
        <v>46</v>
      </c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</row>
    <row r="35" spans="1:63" ht="18.75" x14ac:dyDescent="0.3">
      <c r="A35" s="7"/>
      <c r="B35" s="160">
        <f>100-C35-D35-E35-F35-G35-H35-I35-J35-K35-L35-M35-N35-O35-P35-Q35-R35-S35-T35-U35-V35-W35-X35-Y35-Z35</f>
        <v>96.994991652754592</v>
      </c>
      <c r="C35" s="7">
        <f>C2</f>
        <v>1.669449081803005</v>
      </c>
      <c r="D35" s="7">
        <f>D2</f>
        <v>1.335559265442404</v>
      </c>
      <c r="E35" s="7"/>
      <c r="F35" s="7"/>
      <c r="G35" s="156"/>
      <c r="H35" s="156"/>
      <c r="I35" s="156"/>
      <c r="J35" s="7">
        <f>J2</f>
        <v>0</v>
      </c>
      <c r="K35" s="7">
        <f>K2</f>
        <v>0</v>
      </c>
      <c r="L35" s="156"/>
      <c r="M35" s="7"/>
      <c r="N35" s="156"/>
      <c r="O35" s="156"/>
      <c r="P35" s="7"/>
      <c r="Q35" s="7"/>
      <c r="R35" s="7"/>
      <c r="S35" s="7"/>
      <c r="T35" s="156"/>
      <c r="U35" s="156"/>
      <c r="V35" s="156"/>
      <c r="W35" s="156"/>
      <c r="X35" s="156"/>
      <c r="Y35" s="156"/>
      <c r="Z35" s="156"/>
      <c r="AA35" s="68">
        <v>55.84</v>
      </c>
      <c r="AB35" s="7">
        <v>12.01</v>
      </c>
      <c r="AC35" s="7">
        <v>28.0855</v>
      </c>
      <c r="AD35" s="7">
        <v>58.693399999999997</v>
      </c>
      <c r="AE35" s="7">
        <v>63.545999999999999</v>
      </c>
      <c r="AF35" s="7">
        <v>30.973762000000001</v>
      </c>
      <c r="AG35" s="7">
        <v>32.064999999999998</v>
      </c>
      <c r="AH35" s="7">
        <v>14.0067</v>
      </c>
      <c r="AI35" s="7">
        <v>24.305</v>
      </c>
      <c r="AJ35" s="7">
        <v>54.938043999999998</v>
      </c>
      <c r="AK35" s="7">
        <v>95.95</v>
      </c>
      <c r="AL35" s="7">
        <v>51.996099999999998</v>
      </c>
      <c r="AM35" s="7">
        <v>58.933194999999998</v>
      </c>
      <c r="AN35" s="7">
        <v>26.981539999999999</v>
      </c>
      <c r="AO35" s="7">
        <v>50.941499999999998</v>
      </c>
      <c r="AP35" s="7">
        <v>92.906369999999995</v>
      </c>
      <c r="AQ35" s="7">
        <v>183.84</v>
      </c>
      <c r="AR35" s="7">
        <v>180.94788</v>
      </c>
      <c r="AS35" s="7">
        <v>91.224000000000004</v>
      </c>
      <c r="AT35" s="7">
        <v>47.866999999999997</v>
      </c>
      <c r="AU35" s="7">
        <v>186.20699999999999</v>
      </c>
      <c r="AV35" s="7">
        <v>121.76</v>
      </c>
      <c r="AW35" s="7">
        <v>207.2</v>
      </c>
      <c r="AX35" s="7">
        <v>118.71</v>
      </c>
      <c r="AY35" s="7">
        <v>208.9804</v>
      </c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</row>
    <row r="36" spans="1:63" ht="18.75" x14ac:dyDescent="0.3">
      <c r="A36" s="7"/>
      <c r="B36" s="160">
        <f>100*((((B35)*(AA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98.948438908297163</v>
      </c>
      <c r="C36" s="160">
        <f>100*((((C35)*(AB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0.36629451225552506</v>
      </c>
      <c r="D36" s="160">
        <f>100*((((D35)*(AC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0.68526657944729708</v>
      </c>
      <c r="E36" s="160">
        <f>100*((((E35)*(AD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F36" s="160">
        <f>100*((((F35)*(AE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G36" s="160">
        <f>100*((((G35)*(AF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H36" s="160">
        <f>100*((((H35)*(AG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I36" s="160">
        <f>100*((((I35)*(AH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J36" s="160">
        <f>100*((((J35)*(AI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K36" s="160">
        <f>100*((((K35)*(AJ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L36" s="160">
        <f>100*((((L35)*(AK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M36" s="160">
        <f>100*((((M35)*(AL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N36" s="160">
        <f>100*((((N35)*(AM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O36" s="160">
        <f>100*((((O35)*(AN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P36" s="160">
        <f>100*((((P35)/(AO35))/(((B35)/(AA35))+((C35)/(AB35))+((D35)/(AC35))+((E35)/(AD35))+((F35)/(AE35))+((G35)/(AF35))+((H35)/(AG35))+((I35)/(AH35))+((J35)/(AI35))+((K35)/(AJ35))+((L35)/(AK35))+((M35)/(AL35))+((N35)/(AM35))+((O35)/(AN35))+((P35)/(AO35))+((Q35)/(AP35))+((R35)/(AQ35))+((S35)/(AR35))+((T35)/(AS35))+((U35)/(AT35))+((V35)/(AU35))+((W35)/(AV35))+((X35)/(AX35))+((Y35)/(AX35))+((Z35)/(AY35)))))</f>
        <v>0</v>
      </c>
      <c r="Q36" s="160">
        <f>100*((((Q35)*(AP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R36" s="160">
        <f>100*((((R35)*(AQ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S36" s="160">
        <f>100*((((S35)*(AR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T36" s="160">
        <f>100*((((T35)*(AS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U36" s="160">
        <f>100*((((U35)*(AT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V36" s="160">
        <f>100*((((V35)*(AU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W36" s="160">
        <f>100*((((W35)*(AV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X36" s="7">
        <f>100*((((X35)*(AW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Y36" s="7">
        <f>100*((((Y35)*(AX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Z36" s="7">
        <f>100*((((Z35)*(AY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AA36" s="68">
        <v>55.84</v>
      </c>
      <c r="AB36" s="7">
        <v>95.94</v>
      </c>
      <c r="AC36" s="7">
        <v>183.85</v>
      </c>
      <c r="AD36" s="7">
        <v>58.933199999999999</v>
      </c>
      <c r="AE36" s="7">
        <v>63.54</v>
      </c>
      <c r="AF36" s="7">
        <v>12.01</v>
      </c>
      <c r="AG36" s="7">
        <v>28.085000000000001</v>
      </c>
      <c r="AH36" s="7">
        <v>47.88</v>
      </c>
      <c r="AI36" s="7">
        <v>58.692999999999998</v>
      </c>
      <c r="AJ36" s="7">
        <v>51.99</v>
      </c>
      <c r="AK36" s="7">
        <v>54.93</v>
      </c>
      <c r="AL36" s="7">
        <v>92.9</v>
      </c>
      <c r="AM36" s="7">
        <v>14.0067</v>
      </c>
      <c r="AN36" s="7">
        <v>26.981539999999999</v>
      </c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</row>
    <row r="37" spans="1:63" ht="18.75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</row>
    <row r="38" spans="1:63" ht="18.75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</row>
    <row r="39" spans="1:63" ht="18.75" x14ac:dyDescent="0.3">
      <c r="A39" s="7"/>
      <c r="B39" s="176" t="s">
        <v>14</v>
      </c>
      <c r="C39" s="176" t="s">
        <v>56</v>
      </c>
      <c r="D39" s="176" t="s">
        <v>15</v>
      </c>
      <c r="E39" s="176" t="s">
        <v>8</v>
      </c>
      <c r="F39" s="176" t="s">
        <v>9</v>
      </c>
      <c r="G39" s="176" t="s">
        <v>57</v>
      </c>
      <c r="H39" s="176" t="s">
        <v>58</v>
      </c>
      <c r="I39" s="176" t="s">
        <v>77</v>
      </c>
      <c r="J39" s="176" t="s">
        <v>13</v>
      </c>
      <c r="K39" s="176" t="s">
        <v>16</v>
      </c>
      <c r="L39" s="176" t="s">
        <v>55</v>
      </c>
      <c r="M39" s="176" t="s">
        <v>44</v>
      </c>
      <c r="N39" s="176" t="s">
        <v>10</v>
      </c>
      <c r="O39" s="176" t="s">
        <v>12</v>
      </c>
      <c r="P39" s="176" t="s">
        <v>80</v>
      </c>
      <c r="Q39" s="176" t="s">
        <v>81</v>
      </c>
      <c r="R39" s="176" t="s">
        <v>82</v>
      </c>
      <c r="S39" s="176" t="s">
        <v>83</v>
      </c>
      <c r="T39" s="176" t="s">
        <v>45</v>
      </c>
      <c r="U39" s="176" t="s">
        <v>17</v>
      </c>
      <c r="V39" s="176" t="s">
        <v>84</v>
      </c>
      <c r="W39" s="176" t="s">
        <v>0</v>
      </c>
      <c r="X39" s="176" t="s">
        <v>11</v>
      </c>
      <c r="Y39" s="176" t="s">
        <v>10</v>
      </c>
      <c r="Z39" s="176" t="s">
        <v>46</v>
      </c>
      <c r="AA39" s="162" t="s">
        <v>14</v>
      </c>
      <c r="AB39" s="163" t="s">
        <v>56</v>
      </c>
      <c r="AC39" s="164" t="s">
        <v>15</v>
      </c>
      <c r="AD39" s="165" t="s">
        <v>8</v>
      </c>
      <c r="AE39" s="164" t="s">
        <v>9</v>
      </c>
      <c r="AF39" s="164" t="s">
        <v>57</v>
      </c>
      <c r="AG39" s="165" t="s">
        <v>58</v>
      </c>
      <c r="AH39" s="164" t="s">
        <v>77</v>
      </c>
      <c r="AI39" s="166" t="s">
        <v>13</v>
      </c>
      <c r="AJ39" s="167" t="s">
        <v>16</v>
      </c>
      <c r="AK39" s="167" t="s">
        <v>55</v>
      </c>
      <c r="AL39" s="168" t="s">
        <v>44</v>
      </c>
      <c r="AM39" s="168" t="s">
        <v>10</v>
      </c>
      <c r="AN39" s="167" t="s">
        <v>12</v>
      </c>
      <c r="AO39" s="157" t="s">
        <v>80</v>
      </c>
      <c r="AP39" s="157" t="s">
        <v>81</v>
      </c>
      <c r="AQ39" s="157" t="s">
        <v>82</v>
      </c>
      <c r="AR39" s="157" t="s">
        <v>83</v>
      </c>
      <c r="AS39" s="157" t="s">
        <v>45</v>
      </c>
      <c r="AT39" s="157" t="s">
        <v>17</v>
      </c>
      <c r="AU39" s="157" t="s">
        <v>84</v>
      </c>
      <c r="AV39" s="157" t="s">
        <v>0</v>
      </c>
      <c r="AW39" s="157" t="s">
        <v>11</v>
      </c>
      <c r="AX39" s="157" t="s">
        <v>10</v>
      </c>
      <c r="AY39" s="157" t="s">
        <v>46</v>
      </c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</row>
    <row r="40" spans="1:63" ht="18.75" x14ac:dyDescent="0.3">
      <c r="A40" s="7"/>
      <c r="B40" s="160">
        <f>100-C40-D40-E40-F40-G40-H40-I40-J40-K40-L40-M40-N40-O40-P40-Q40-R40-S40-T40-U40-V40-W40-X40-Y40-Z40</f>
        <v>93.598807806106706</v>
      </c>
      <c r="C40" s="156">
        <f>C19</f>
        <v>0.8717917293387516</v>
      </c>
      <c r="D40" s="156">
        <f t="shared" ref="D40:Z40" si="6">D19</f>
        <v>1.4575042833282961</v>
      </c>
      <c r="E40" s="156">
        <f t="shared" si="6"/>
        <v>0</v>
      </c>
      <c r="F40" s="156">
        <f t="shared" si="6"/>
        <v>0</v>
      </c>
      <c r="G40" s="156">
        <f t="shared" si="6"/>
        <v>0.81481738515196134</v>
      </c>
      <c r="H40" s="156">
        <f t="shared" si="6"/>
        <v>5.0064370348226889E-3</v>
      </c>
      <c r="I40" s="156">
        <f t="shared" si="6"/>
        <v>1.0012874069645378E-3</v>
      </c>
      <c r="J40" s="156">
        <f t="shared" si="6"/>
        <v>1.0012874069645376E-3</v>
      </c>
      <c r="K40" s="156">
        <f t="shared" si="6"/>
        <v>1.5019311104468066E-3</v>
      </c>
      <c r="L40" s="156">
        <f t="shared" si="6"/>
        <v>1.7053117226059147</v>
      </c>
      <c r="M40" s="156">
        <f t="shared" si="6"/>
        <v>1.0012874069645376E-3</v>
      </c>
      <c r="N40" s="156">
        <f t="shared" si="6"/>
        <v>1.2911935322602954</v>
      </c>
      <c r="O40" s="156">
        <f t="shared" si="6"/>
        <v>0.19835803294374477</v>
      </c>
      <c r="P40" s="156">
        <f t="shared" si="6"/>
        <v>0</v>
      </c>
      <c r="Q40" s="156">
        <f t="shared" si="6"/>
        <v>5.2703277898170461E-2</v>
      </c>
      <c r="R40" s="156">
        <f t="shared" si="6"/>
        <v>0</v>
      </c>
      <c r="S40" s="156">
        <f t="shared" si="6"/>
        <v>0</v>
      </c>
      <c r="T40" s="156">
        <f t="shared" si="6"/>
        <v>0</v>
      </c>
      <c r="U40" s="156">
        <f t="shared" si="6"/>
        <v>0</v>
      </c>
      <c r="V40" s="156">
        <f t="shared" si="6"/>
        <v>0</v>
      </c>
      <c r="W40" s="156">
        <f t="shared" si="6"/>
        <v>0</v>
      </c>
      <c r="X40" s="156">
        <f t="shared" si="6"/>
        <v>0</v>
      </c>
      <c r="Y40" s="156">
        <f t="shared" si="6"/>
        <v>0</v>
      </c>
      <c r="Z40" s="156">
        <f t="shared" si="6"/>
        <v>0</v>
      </c>
      <c r="AA40" s="68">
        <v>55.84</v>
      </c>
      <c r="AB40" s="7">
        <v>12.01</v>
      </c>
      <c r="AC40" s="7">
        <v>28.0855</v>
      </c>
      <c r="AD40" s="7">
        <v>58.693399999999997</v>
      </c>
      <c r="AE40" s="7">
        <v>63.545999999999999</v>
      </c>
      <c r="AF40" s="7">
        <v>30.973762000000001</v>
      </c>
      <c r="AG40" s="7">
        <v>32.064999999999998</v>
      </c>
      <c r="AH40" s="7">
        <v>14.0067</v>
      </c>
      <c r="AI40" s="7">
        <v>24.305</v>
      </c>
      <c r="AJ40" s="7">
        <v>54.938043999999998</v>
      </c>
      <c r="AK40" s="7">
        <v>95.95</v>
      </c>
      <c r="AL40" s="7">
        <v>51.996099999999998</v>
      </c>
      <c r="AM40" s="7">
        <v>58.933194999999998</v>
      </c>
      <c r="AN40" s="7">
        <v>26.981539999999999</v>
      </c>
      <c r="AO40" s="7">
        <v>50.941499999999998</v>
      </c>
      <c r="AP40" s="7">
        <v>92.906369999999995</v>
      </c>
      <c r="AQ40" s="7">
        <v>183.84</v>
      </c>
      <c r="AR40" s="7">
        <v>180.94788</v>
      </c>
      <c r="AS40" s="7">
        <v>91.224000000000004</v>
      </c>
      <c r="AT40" s="7">
        <v>47.866999999999997</v>
      </c>
      <c r="AU40" s="7">
        <v>186.20699999999999</v>
      </c>
      <c r="AV40" s="7">
        <v>121.76</v>
      </c>
      <c r="AW40" s="7">
        <v>207.2</v>
      </c>
      <c r="AX40" s="7">
        <v>118.71</v>
      </c>
      <c r="AY40" s="7">
        <v>208.9804</v>
      </c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</row>
    <row r="41" spans="1:63" ht="18.75" x14ac:dyDescent="0.3">
      <c r="A41" s="7"/>
      <c r="B41" s="160">
        <f>100*((((B40)/(AA40))/(((B40)/(AA40))+((C40)/(AB40))+((D40)/(AC40))+((E40)/(AD40))+((F40)/(AE40))+((G40)/(AF40))+((H40)/(AG40))+((I40)/(AH40))+((J40)/(AI40))+((K40)/(AJ40))+((L40)/(AK40))+((M40)/(AL40))+((N40)/(AM40))+((O40)/(AN40))+((P40)/(AO40))+((Q40)/(AP40))+((R40)/(AQ40))+((S40)/(AR40))+((T40)/(AS40))+((U40)/(AT40))+((V40)/(AU40))+((W40)/(AV40))+((X40)/(AW40))+((Y40)/(AX40))+((Z40)/(AY40)))))</f>
        <v>89.401726110927143</v>
      </c>
      <c r="C41" s="160">
        <f>100*((((C40)/(AB40))/(((B40)/(AA40))+((C40)/(AB40))+((D40)/(AC40))+((E40)/(AD40))+((F40)/(AE40))+((G40)/(AF40))+((H40)/(AG40))+((I40)/(AH40))+((J40)/(AI40))+((K40)/(AJ40))+((L40)/(AK40))+((M40)/(AL40))+((N40)/(AM40))+((O40)/(AN40))+((P40)/(AO40))+((Q40)/(AP40))+((R40)/(AQ40))+((S40)/(AR40))+((T40)/(AS40))+((U40)/(AT40))+((V40)/(AU40))+((W40)/(AV40))+((X40)/(AW40))+((Y40)/(AX40))+((Z40)/(AY40)))))</f>
        <v>3.8716022509520331</v>
      </c>
      <c r="D41" s="160">
        <f>100*((((D40)/(AC40))/(((B40)/(AA40))+((C40)/(AB40))+((D40)/(AC40))+((E40)/(AD40))+((F40)/(AE40))+((G40)/(AF40))+((H40)/(AG40))+((I40)/(AH40))+((J40)/(AI40))+((K40)/(AJ40))+((L40)/(AK40))+((M40)/(AL40))+((N40)/(AM40))+((O40)/(AN40))+((P40)/(AO40))+((Q40)/(AP40))+((R40)/(AQ40))+((S40)/(AR40))+((T40)/(AS40))+((U40)/(AT40))+((V40)/(AU40))+((W40)/(AV40))+((X40)/(AW40))+((Y40)/(AX40))+((Z40)/(AY40)))))</f>
        <v>2.7678890421424351</v>
      </c>
      <c r="E41" s="160">
        <f>100*((((E40)/(AD40))/(((B40)/(AA40))+((C40)/(AB40))+((D40)/(AC40))+((E40)/(AD40))+((F40)/(AE40))+((G40)/(AF40))+((H40)/(AG40))+((I40)/(AH40))+((J40)/(AI40))+((K40)/(AJ40))+((L40)/(AK40))+((M40)/(AL40))+((N40)/(AM40))+((O40)/(AN40))+((P40)/(AO40))+((Q40)/(AP40))+((R40)/(AQ40))+((S40)/(AR40))+((T40)/(AS40))+((U40)/(AT40))+((V40)/(AU40))+((W40)/(AV40))+((X40)/(AW40))+((Y40)/(AX40))+((Z40)/(AY40)))))</f>
        <v>0</v>
      </c>
      <c r="F41" s="160">
        <f>100*((((F40)/(AE40))/(((B40)/(AA40))+((C40)/(AB40))+((D40)/(AC40))+((E40)/(AD40))+((F40)/(AE40))+((G40)/(AF40))+((H40)/(AG40))+((I40)/(AH40))+((J40)/(AI40))+((K40)/(AJ40))+((L40)/(AK40))+((M40)/(AL40))+((N40)/(AM40))+((O40)/(AN40))+((P40)/(AO40))+((Q40)/(AP40))+((R40)/(AQ40))+((S40)/(AR40))+((T40)/(AS40))+((U40)/(AT40))+((V40)/(AU40))+((W40)/(AV40))+((X40)/(AW40))+((Y40)/(AX40))+((Z40)/(AY40)))))</f>
        <v>0</v>
      </c>
      <c r="G41" s="160">
        <f>100*((((G40)/(AF40))/(((B40)/(AA40))+((C40)/(AB40))+((D40)/(AC40))+((E40)/(AD40))+((F40)/(AE40))+((G40)/(AF40))+((H40)/(AG40))+((I40)/(AH40))+((J40)/(AI40))+((K40)/(AJ40))+((L40)/(AK40))+((M40)/(AL40))+((N40)/(AM40))+((O40)/(AN40))+((P40)/(AO40))+((Q40)/(AP40))+((R40)/(AQ40))+((S40)/(AR40))+((T40)/(AS40))+((U40)/(AT40))+((V40)/(AU40))+((W40)/(AV40))+((X40)/(AW40))+((Y40)/(AX40))+((Z40)/(AY40)))))</f>
        <v>1.4030958051901961</v>
      </c>
      <c r="H41" s="160">
        <f>100*((((H40)/(AG40))/(((B40)/(AA40))+((C40)/(AB40))+((D40)/(AC40))+((E40)/(AD40))+((F40)/(AE40))+((G40)/(AF40))+((H40)/(AG40))+((I40)/(AH40))+((J40)/(AI40))+((K40)/(AJ40))+((L40)/(AK40))+((M40)/(AL40))+((N40)/(AM40))+((O40)/(AN40))+((P40)/(AO40))+((Q40)/(AP40))+((R40)/(AQ40))+((S40)/(AR40))+((T40)/(AS40))+((U40)/(AT40))+((V40)/(AU40))+((W40)/(AV40))+((X40)/(AW40))+((Y40)/(AX40))+((Z40)/(AY40)))))</f>
        <v>8.3275741950398444E-3</v>
      </c>
      <c r="I41" s="160">
        <f>100*((((I40)/(AH40))/(((B40)/(AA40))+((C40)/(AB40))+((D40)/(AC40))+((E40)/(AD40))+((F40)/(AE40))+((G40)/(AF40))+((H40)/(AG40))+((I40)/(AH40))+((J40)/(AI40))+((K40)/(AJ40))+((L40)/(AK40))+((M40)/(AL40))+((N40)/(AM40))+((O40)/(AN40))+((P40)/(AO40))+((Q40)/(AP40))+((R40)/(AQ40))+((S40)/(AR40))+((T40)/(AS40))+((U40)/(AT40))+((V40)/(AU40))+((W40)/(AV40))+((X40)/(AW40))+((Y40)/(AX40))+((Z40)/(AY40)))))</f>
        <v>3.8127991113388968E-3</v>
      </c>
      <c r="J41" s="160">
        <f>100*((((J40)/(AI40))/(((B40)/(AA40))+((C40)/(AB40))+((D40)/(AC40))+((E40)/(AD40))+((F40)/(AE40))+((G40)/(AF40))+((H40)/(AG40))+((I40)/(AH40))+((J40)/(AI40))+((K40)/(AJ40))+((L40)/(AK40))+((M40)/(AL40))+((N40)/(AM40))+((O40)/(AN40))+((P40)/(AO40))+((Q40)/(AP40))+((R40)/(AQ40))+((S40)/(AR40))+((T40)/(AS40))+((U40)/(AT40))+((V40)/(AU40))+((W40)/(AV40))+((X40)/(AW40))+((Y40)/(AX40))+((Z40)/(AY40)))))</f>
        <v>2.1972735368356515E-3</v>
      </c>
      <c r="K41" s="160">
        <f>100*((((K40)/(AJ40))/(((B40)/(AA40))+((C40)/(AB40))+((D40)/(AC40))+((E40)/(AD40))+((F40)/(AE40))+((G40)/(AF40))+((H40)/(AG40))+((I40)/(AH40))+((J40)/(AI40))+((K40)/(AJ40))+((L40)/(AK40))+((M40)/(AL40))+((N40)/(AM40))+((O40)/(AN40))+((P40)/(AO40))+((Q40)/(AP40))+((R40)/(AQ40))+((S40)/(AR40))+((T40)/(AS40))+((U40)/(AT40))+((V40)/(AU40))+((W40)/(AV40))+((X40)/(AW40))+((Y40)/(AX40))+((Z40)/(AY40)))))</f>
        <v>1.4581352763339331E-3</v>
      </c>
      <c r="L41" s="160">
        <f>100*((((L40)/(AK40))/(((B40)/(AA40))+((C40)/(AB40))+((D40)/(AC40))+((E40)/(AD40))+((F40)/(AE40))+((G40)/(AF40))+((H40)/(AG40))+((I40)/(AH40))+((J40)/(AI40))+((K40)/(AJ40))+((L40)/(AK40))+((M40)/(AL40))+((N40)/(AM40))+((O40)/(AN40))+((P40)/(AO40))+((Q40)/(AP40))+((R40)/(AQ40))+((S40)/(AR40))+((T40)/(AS40))+((U40)/(AT40))+((V40)/(AU40))+((W40)/(AV40))+((X40)/(AW40))+((Y40)/(AX40))+((Z40)/(AY40)))))</f>
        <v>0.9479376982484149</v>
      </c>
      <c r="M41" s="160">
        <f>100*((((M40)/(AL40))/(((B40)/(AA40))+((C40)/(AB40))+((D40)/(AC40))+((E40)/(AD40))+((F40)/(AE40))+((G40)/(AF40))+((H40)/(AG40))+((I40)/(AH40))+((J40)/(AI40))+((K40)/(AJ40))+((L40)/(AK40))+((M40)/(AL40))+((N40)/(AM40))+((O40)/(AN40))+((P40)/(AO40))+((Q40)/(AP40))+((R40)/(AQ40))+((S40)/(AR40))+((T40)/(AS40))+((U40)/(AT40))+((V40)/(AU40))+((W40)/(AV40))+((X40)/(AW40))+((Y40)/(AX40))+((Z40)/(AY40)))))</f>
        <v>1.0270911340040986E-3</v>
      </c>
      <c r="N41" s="160">
        <f>100*((((N40)/(AM40))/(((B40)/(AA40))+((C40)/(AB40))+((D40)/(AC40))+((E40)/(AD40))+((F40)/(AE40))+((G40)/(AF40))+((H40)/(AG40))+((I40)/(AH40))+((J40)/(AI40))+((K40)/(AJ40))+((L40)/(AK40))+((M40)/(AL40))+((N40)/(AM40))+((O40)/(AN40))+((P40)/(AO40))+((Q40)/(AP40))+((R40)/(AQ40))+((S40)/(AR40))+((T40)/(AS40))+((U40)/(AT40))+((V40)/(AU40))+((W40)/(AV40))+((X40)/(AW40))+((Y40)/(AX40))+((Z40)/(AY40)))))</f>
        <v>1.1685635939216059</v>
      </c>
      <c r="O41" s="160">
        <f>100*((((O40)/(AN40))/(((B40)/(AA40))+((C40)/(AB40))+((D40)/(AC40))+((E40)/(AD40))+((F40)/(AE40))+((G40)/(AF40))+((H40)/(AG40))+((I40)/(AH40))+((J40)/(AI40))+((K40)/(AJ40))+((L40)/(AK40))+((M40)/(AL40))+((N40)/(AM40))+((O40)/(AN40))+((P40)/(AO40))+((Q40)/(AP40))+((R40)/(AQ40))+((S40)/(AR40))+((T40)/(AS40))+((U40)/(AT40))+((V40)/(AU40))+((W40)/(AV40))+((X40)/(AW40))+((Y40)/(AX40))+((Z40)/(AY40)))))</f>
        <v>0.39210651248021022</v>
      </c>
      <c r="P41" s="160">
        <f>100*((((P40)/(AO40))/(((B40)/(AA40))+((C40)/(AB40))+((D40)/(AC40))+((E40)/(AD40))+((F40)/(AE40))+((G40)/(AF40))+((H40)/(AG40))+((I40)/(AH40))+((J40)/(AI40))+((K40)/(AJ40))+((L40)/(AK40))+((M40)/(AL40))+((N40)/(AM40))+((O40)/(AN40))+((P40)/(AO40))+((Q40)/(AP40))+((R40)/(AQ40))+((S40)/(AR40))+((T40)/(AS40))+((U40)/(AT40))+((V40)/(AU40))+((W40)/(AV40))+((X40)/(AW40))+((Y40)/(AX40))+((Z40)/(AY40)))))</f>
        <v>0</v>
      </c>
      <c r="Q41" s="160">
        <f>100*((((Q40)/(AP40))/(((B40)/(AA40))+((C40)/(AB40))+((D40)/(AC40))+((E40)/(AD40))+((F40)/(AE40))+((G40)/(AF40))+((H40)/(AG40))+((I40)/(AH40))+((J40)/(AI40))+((K40)/(AJ40))+((L40)/(AK40))+((M40)/(AL40))+((N40)/(AM40))+((O40)/(AN40))+((P40)/(AO40))+((Q40)/(AP40))+((R40)/(AQ40))+((S40)/(AR40))+((T40)/(AS40))+((U40)/(AT40))+((V40)/(AU40))+((W40)/(AV40))+((X40)/(AW40))+((Y40)/(AX40))+((Z40)/(AY40)))))</f>
        <v>3.0256112884394667E-2</v>
      </c>
      <c r="R41" s="160">
        <f>100*((((R40)/(AQ40))/(((B40)/(AA40))+((C40)/(AB40))+((D40)/(AC40))+((E40)/(AD40))+((F40)/(AE40))+((G40)/(AF40))+((H40)/(AG40))+((I40)/(AH40))+((J40)/(AI40))+((K40)/(AJ40))+((L40)/(AK40))+((M40)/(AL40))+((N40)/(AM40))+((O40)/(AN40))+((P40)/(AO40))+((Q40)/(AP40))+((R40)/(AQ40))+((S40)/(AR40))+((T40)/(AS40))+((U40)/(AT40))+((V40)/(AU40))+((W40)/(AV40))+((X40)/(AW40))+((Y40)/(AX40))+((Z40)/(AY40)))))</f>
        <v>0</v>
      </c>
      <c r="S41" s="160">
        <f>100*((((S40)/(AR40))/(((B40)/(AA40))+((C40)/(AB40))+((D40)/(AC40))+((E40)/(AD40))+((F40)/(AE40))+((G40)/(AF40))+((H40)/(AG40))+((I40)/(AH40))+((J40)/(AI40))+((K40)/(AJ40))+((L40)/(AK40))+((M40)/(AL40))+((N40)/(AM40))+((O40)/(AN40))+((P40)/(AO40))+((Q40)/(AP40))+((R40)/(AQ40))+((S40)/(AR40))+((T40)/(AS40))+((U40)/(AT40))+((V40)/(AU40))+((W40)/(AV40))+((X40)/(AW40))+((Y40)/(AX40))+((Z40)/(AY40)))))</f>
        <v>0</v>
      </c>
      <c r="T41" s="160">
        <f>100*((((T40)/(AS40))/(((B40)/(AA40))+((C40)/(AB40))+((D40)/(AC40))+((E40)/(AD40))+((F40)/(AE40))+((G40)/(AF40))+((H40)/(AG40))+((I40)/(AH40))+((J40)/(AI40))+((K40)/(AJ40))+((L40)/(AK40))+((M40)/(AL40))+((N40)/(AM40))+((O40)/(AN40))+((P40)/(AO40))+((Q40)/(AP40))+((R40)/(AQ40))+((S40)/(AR40))+((T40)/(AS40))+((U40)/(AT40))+((V40)/(AU40))+((W40)/(AV40))+((X40)/(AW40))+((Y40)/(AX40))+((Z40)/(AY40)))))</f>
        <v>0</v>
      </c>
      <c r="U41" s="160">
        <f>100*((((U40)/(AT40))/(((B40)/(AA40))+((C40)/(AB40))+((D40)/(AC40))+((E40)/(AD40))+((F40)/(AE40))+((G40)/(AF40))+((H40)/(AG40))+((I40)/(AH40))+((J40)/(AI40))+((K40)/(AJ40))+((L40)/(AK40))+((M40)/(AL40))+((N40)/(AM40))+((O40)/(AN40))+((P40)/(AO40))+((Q40)/(AP40))+((R40)/(AQ40))+((S40)/(AR40))+((T40)/(AS40))+((U40)/(AT40))+((V40)/(AU40))+((W40)/(AV40))+((X40)/(AW40))+((Y40)/(AX40))+((Z40)/(AY40)))))</f>
        <v>0</v>
      </c>
      <c r="V41" s="160">
        <f>100*((((V40)/(AU40))/(((B40)/(AA40))+((C40)/(AB40))+((D40)/(AC40))+((E40)/(AD40))+((F40)/(AE40))+((G40)/(AF40))+((H40)/(AG40))+((I40)/(AH40))+((J40)/(AI40))+((K40)/(AJ40))+((L40)/(AK40))+((M40)/(AL40))+((N40)/(AM40))+((O40)/(AN40))+((P40)/(AO40))+((Q40)/(AP40))+((R40)/(AQ40))+((S40)/(AR40))+((T40)/(AS40))+((U40)/(AT40))+((V40)/(AU40))+((W40)/(AV40))+((X40)/(AW40))+((Y40)/(AX40))+((Z40)/(AY40)))))</f>
        <v>0</v>
      </c>
      <c r="W41" s="160">
        <f>100*((((W40)/(AV40))/(((B40)/(AA40))+((C40)/(AB40))+((D40)/(AC40))+((E40)/(AD40))+((F40)/(AE40))+((G40)/(AF40))+((H40)/(AG40))+((I40)/(AH40))+((J40)/(AI40))+((K40)/(AJ40))+((L40)/(AK40))+((M40)/(AL40))+((N40)/(AM40))+((O40)/(AN40))+((P40)/(AO40))+((Q40)/(AP40))+((R40)/(AQ40))+((S40)/(AR40))+((T40)/(AS40))+((U40)/(AT40))+((V40)/(AU40))+((W40)/(AV40))+((X40)/(AW40))+((Y40)/(AX40))+((Z40)/(AY40)))))</f>
        <v>0</v>
      </c>
      <c r="X41" s="7">
        <f>100*((((X40)/(AW40))/(((B40)/(AA40))+((C40)/(AB40))+((D40)/(AC40))+((E40)/(AD40))+((F40)/(AE40))+((G40)/(AF40))+((H40)/(AG40))+((I40)/(AH40))+((J40)/(AI40))+((K40)/(AJ40))+((L40)/(AK40))+((M40)/(AL40))+((N40)/(AM40))+((O40)/(AN40))+((P40)/(AO40))+((Q40)/(AP40))+((R40)/(AQ40))+((S40)/(AR40))+((T40)/(AS40))+((U40)/(AT40))+((V40)/(AU40))+((W40)/(AV40))+((X40)/(AW40))+((Y40)/(AX40))+((Z40)/(AY40)))))</f>
        <v>0</v>
      </c>
      <c r="Y41" s="7">
        <f>100*((((Y40)/(AX40))/(((B40)/(AA40))+((C40)/(AB40))+((D40)/(AC40))+((E40)/(AD40))+((F40)/(AE40))+((G40)/(AF40))+((H40)/(AG40))+((I40)/(AH40))+((J40)/(AI40))+((K40)/(AJ40))+((L40)/(AK40))+((M40)/(AL40))+((N40)/(AM40))+((O40)/(AN40))+((P40)/(AO40))+((Q40)/(AP40))+((R40)/(AQ40))+((S40)/(AR40))+((T40)/(AS40))+((U40)/(AT40))+((V40)/(AU40))+((W40)/(AV40))+((X40)/(AW40))+((Y40)/(AX40))+((Z40)/(AY40)))))</f>
        <v>0</v>
      </c>
      <c r="Z41" s="7">
        <f>100*((((Z40)/(AY40))/(((B40)/(AA40))+((C40)/(AB40))+((D40)/(AC40))+((E40)/(AD40))+((F40)/(AE40))+((G40)/(AF40))+((H40)/(AG40))+((I40)/(AH40))+((J40)/(AI40))+((K40)/(AJ40))+((L40)/(AK40))+((M40)/(AL40))+((N40)/(AM40))+((O40)/(AN40))+((P40)/(AO40))+((Q40)/(AP40))+((R40)/(AQ40))+((S40)/(AR40))+((T40)/(AS40))+((U40)/(AT40))+((V40)/(AU40))+((W40)/(AV40))+((X40)/(AW40))+((Y40)/(AX40))+((Z40)/(AY40)))))</f>
        <v>0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</row>
    <row r="42" spans="1:63" ht="18.75" x14ac:dyDescent="0.3">
      <c r="A42" s="7"/>
      <c r="B42" s="155" t="s">
        <v>87</v>
      </c>
      <c r="C42" s="172">
        <f>B41/C41</f>
        <v>23.091660846344201</v>
      </c>
      <c r="D42" s="172">
        <f>B41/D41</f>
        <v>32.29960621605241</v>
      </c>
      <c r="E42" s="172" t="e">
        <f>B41/E41</f>
        <v>#DIV/0!</v>
      </c>
      <c r="F42" s="172" t="e">
        <f>B41/F41</f>
        <v>#DIV/0!</v>
      </c>
      <c r="G42" s="173">
        <f>B41/G41</f>
        <v>63.717478008430312</v>
      </c>
      <c r="H42" s="173">
        <f>B41/H41</f>
        <v>10735.626488224809</v>
      </c>
      <c r="I42" s="173">
        <f>B41/I41</f>
        <v>23447.793471482677</v>
      </c>
      <c r="J42" s="160">
        <f>B41/J41</f>
        <v>40687.57239923656</v>
      </c>
      <c r="K42" s="160">
        <f>B41/K41</f>
        <v>61312.367625932748</v>
      </c>
      <c r="L42" s="160">
        <f>B41/L41</f>
        <v>94.311816352617171</v>
      </c>
      <c r="M42" s="160">
        <f>B41/M41</f>
        <v>87043.615849740541</v>
      </c>
      <c r="N42" s="160">
        <f>B41/N41</f>
        <v>76.505657523440476</v>
      </c>
      <c r="O42" s="160">
        <f>B41/O41</f>
        <v>228.00367569880464</v>
      </c>
      <c r="P42" s="7" t="e">
        <f>B41/P41</f>
        <v>#DIV/0!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</row>
    <row r="43" spans="1:63" ht="18.75" x14ac:dyDescent="0.3">
      <c r="A43" s="7"/>
      <c r="B43" s="7"/>
      <c r="C43" s="7">
        <f>599*B41/100/C42</f>
        <v>23.190897483202679</v>
      </c>
      <c r="D43" s="7">
        <f>599*B41/100/D42</f>
        <v>16.579655362433183</v>
      </c>
      <c r="E43" s="7" t="e">
        <f>599*B41/100/E42</f>
        <v>#DIV/0!</v>
      </c>
      <c r="F43" s="7" t="e">
        <f>599*B41/100/F42</f>
        <v>#DIV/0!</v>
      </c>
      <c r="G43" s="7">
        <f>599*B41/100/G42</f>
        <v>8.4045438730892741</v>
      </c>
      <c r="H43" s="7">
        <f>599*B41/100/H42</f>
        <v>4.9882169428288665E-2</v>
      </c>
      <c r="I43" s="7">
        <f>599*B41/100/I42</f>
        <v>2.2838666676919993E-2</v>
      </c>
      <c r="J43" s="7">
        <f>599*B41/100/J42</f>
        <v>1.3161668485645551E-2</v>
      </c>
      <c r="K43" s="7">
        <f>599*B41/100/K42</f>
        <v>8.7342303052402592E-3</v>
      </c>
      <c r="L43" s="7">
        <f>599*B41/100/L42</f>
        <v>5.6781468125080057</v>
      </c>
      <c r="M43" s="7">
        <f>599*B41/100/M42</f>
        <v>6.15227589268455E-3</v>
      </c>
      <c r="N43" s="7">
        <f>599*B41/100/N42</f>
        <v>6.9996959275904187</v>
      </c>
      <c r="O43" s="7">
        <f>599*B41/100/O42</f>
        <v>2.3487180097564591</v>
      </c>
      <c r="P43" s="7" t="e">
        <f>599*N41/100/P42</f>
        <v>#DIV/0!</v>
      </c>
      <c r="Q43" s="7" t="e">
        <f>599*P41/100/Q42</f>
        <v>#DIV/0!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</row>
    <row r="44" spans="1:63" ht="18.75" x14ac:dyDescent="0.3">
      <c r="A44" s="7"/>
      <c r="B44" s="7" t="s">
        <v>88</v>
      </c>
      <c r="C44" s="174" t="e">
        <f>C43+D43+F43+G43+H43+I43</f>
        <v>#DIV/0!</v>
      </c>
      <c r="D44" s="175"/>
      <c r="E44" s="175" t="e">
        <f>C43+F43+E43</f>
        <v>#DIV/0!</v>
      </c>
      <c r="F44" s="175"/>
      <c r="G44" s="175">
        <v>94</v>
      </c>
      <c r="H44" s="175"/>
      <c r="I44" s="175"/>
      <c r="J44" s="175">
        <f>J43+O43</f>
        <v>2.3618796782421048</v>
      </c>
      <c r="K44" s="175"/>
      <c r="L44" s="175"/>
      <c r="M44" s="175"/>
      <c r="N44" s="175"/>
      <c r="O44" s="175"/>
      <c r="P44" s="175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</row>
    <row r="45" spans="1:63" ht="18.75" x14ac:dyDescent="0.3">
      <c r="A45" s="7"/>
      <c r="B45" s="160" t="s">
        <v>89</v>
      </c>
      <c r="C45" s="169">
        <f>J43+K43</f>
        <v>2.1895898790885812E-2</v>
      </c>
      <c r="D45" s="7"/>
      <c r="E45" s="170">
        <f>K43+M43</f>
        <v>1.4886506197924809E-2</v>
      </c>
      <c r="F45" s="7"/>
      <c r="G45" s="7">
        <v>0.5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</row>
    <row r="46" spans="1:63" ht="18.75" x14ac:dyDescent="0.3">
      <c r="A46" s="7"/>
      <c r="B46" s="7" t="s">
        <v>13</v>
      </c>
      <c r="C46" s="7">
        <f>J41</f>
        <v>2.1972735368356515E-3</v>
      </c>
      <c r="D46" s="7"/>
      <c r="E46" s="7">
        <f>J43</f>
        <v>1.3161668485645551E-2</v>
      </c>
      <c r="F46" s="7"/>
      <c r="G46" s="7">
        <v>0.5</v>
      </c>
      <c r="H46" s="7"/>
      <c r="I46" s="7"/>
      <c r="J46" s="7">
        <v>98</v>
      </c>
      <c r="K46" s="152">
        <f>J46*100/599</f>
        <v>16.360601001669448</v>
      </c>
      <c r="L46" s="7">
        <v>94.49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</row>
    <row r="47" spans="1:63" ht="18.75" x14ac:dyDescent="0.3">
      <c r="A47" s="7"/>
      <c r="B47" s="7" t="s">
        <v>15</v>
      </c>
      <c r="C47" s="7">
        <f>D41</f>
        <v>2.7678890421424351</v>
      </c>
      <c r="D47" s="7"/>
      <c r="E47" s="7">
        <f>D43</f>
        <v>16.579655362433183</v>
      </c>
      <c r="F47" s="7"/>
      <c r="G47" s="7">
        <v>23</v>
      </c>
      <c r="H47" s="7"/>
      <c r="I47" s="7"/>
      <c r="J47" s="7">
        <v>0.5</v>
      </c>
      <c r="K47" s="152">
        <f t="shared" ref="K47:K48" si="7">J47*100/599</f>
        <v>8.347245409015025E-2</v>
      </c>
      <c r="L47" s="7">
        <v>95.82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</row>
    <row r="48" spans="1:63" ht="18.75" x14ac:dyDescent="0.3">
      <c r="A48" s="7"/>
      <c r="B48" s="7" t="s">
        <v>67</v>
      </c>
      <c r="C48" s="7" t="e">
        <f>C44+C45</f>
        <v>#DIV/0!</v>
      </c>
      <c r="D48" s="7"/>
      <c r="E48" s="7" t="e">
        <f>E44+E45+E46+E47</f>
        <v>#DIV/0!</v>
      </c>
      <c r="F48" s="7"/>
      <c r="G48" s="7">
        <f>G44+G45+G46+G47</f>
        <v>118</v>
      </c>
      <c r="H48" s="7"/>
      <c r="I48" s="7"/>
      <c r="J48" s="7">
        <v>23</v>
      </c>
      <c r="K48" s="152">
        <f t="shared" si="7"/>
        <v>3.8397328881469117</v>
      </c>
      <c r="L48" s="7">
        <v>89.48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</row>
    <row r="49" spans="1:63" ht="18.75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</row>
    <row r="50" spans="1:63" ht="18.75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</row>
    <row r="51" spans="1:63" ht="18.75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</row>
    <row r="52" spans="1:63" ht="18.75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</row>
    <row r="53" spans="1:63" ht="18.75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</row>
    <row r="54" spans="1:63" ht="18.75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</row>
    <row r="55" spans="1:63" ht="18.75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</row>
    <row r="56" spans="1:63" ht="18.75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</row>
    <row r="57" spans="1:63" ht="18.75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</row>
    <row r="58" spans="1:63" ht="18.75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</row>
    <row r="59" spans="1:63" ht="18.75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</row>
    <row r="60" spans="1:63" ht="18.75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</row>
    <row r="61" spans="1:63" ht="18.75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</row>
    <row r="62" spans="1:63" ht="18.75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</row>
    <row r="63" spans="1:63" ht="18.75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</row>
    <row r="64" spans="1:63" ht="18.75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</row>
    <row r="65" spans="1:63" ht="18.75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</row>
    <row r="66" spans="1:63" ht="18.75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</row>
    <row r="67" spans="1:63" ht="18.75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</row>
    <row r="68" spans="1:63" ht="18.75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</row>
    <row r="69" spans="1:63" ht="18.75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</row>
    <row r="70" spans="1:63" ht="18.75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</row>
  </sheetData>
  <pageMargins left="0.7" right="0.7" top="0.75" bottom="0.75" header="0.3" footer="0.3"/>
  <pageSetup paperSize="9" orientation="portrait" verticalDpi="597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07F8-650C-40B3-B759-AAFE9C48B4DB}">
  <dimension ref="A1:Z29"/>
  <sheetViews>
    <sheetView workbookViewId="0">
      <selection activeCell="C4" sqref="C4:S4"/>
    </sheetView>
  </sheetViews>
  <sheetFormatPr baseColWidth="10" defaultRowHeight="15" x14ac:dyDescent="0.25"/>
  <cols>
    <col min="2" max="2" width="17.28515625" customWidth="1"/>
    <col min="3" max="3" width="23.140625" customWidth="1"/>
    <col min="4" max="4" width="11.5703125" bestFit="1" customWidth="1"/>
    <col min="5" max="5" width="13" bestFit="1" customWidth="1"/>
    <col min="6" max="8" width="11.5703125" bestFit="1" customWidth="1"/>
    <col min="9" max="9" width="13.5703125" customWidth="1"/>
    <col min="10" max="11" width="11.5703125" bestFit="1" customWidth="1"/>
    <col min="12" max="13" width="20.28515625" bestFit="1" customWidth="1"/>
    <col min="14" max="14" width="11.5703125" bestFit="1" customWidth="1"/>
    <col min="15" max="15" width="20.28515625" bestFit="1" customWidth="1"/>
    <col min="16" max="17" width="12.140625" bestFit="1" customWidth="1"/>
  </cols>
  <sheetData>
    <row r="1" spans="1:26" ht="18" x14ac:dyDescent="0.25">
      <c r="A1" s="34"/>
      <c r="B1" s="38"/>
      <c r="C1" s="3"/>
      <c r="D1" s="3"/>
      <c r="E1" s="39"/>
      <c r="F1" s="1"/>
      <c r="G1" s="40"/>
      <c r="H1" s="3"/>
      <c r="I1" s="3"/>
      <c r="J1" s="12"/>
      <c r="K1" s="39"/>
      <c r="L1" s="3"/>
      <c r="M1" s="3"/>
      <c r="N1" s="3"/>
      <c r="O1" s="3"/>
    </row>
    <row r="2" spans="1:26" ht="15.75" x14ac:dyDescent="0.25">
      <c r="B2" s="3">
        <f>C2+D2+E2+F2+G2+H2+I2+J2+K2+L2+M2+N2+O2</f>
        <v>21.035057630000001</v>
      </c>
      <c r="C2" s="64">
        <f>C4+D4+E4+F4+G4+H4+I4</f>
        <v>20.86811363</v>
      </c>
      <c r="D2" s="64"/>
      <c r="E2" s="3"/>
      <c r="F2" s="3"/>
      <c r="G2" s="3"/>
      <c r="H2" s="26"/>
      <c r="I2" s="3"/>
      <c r="J2" s="26">
        <f>J4</f>
        <v>8.3472000000000005E-2</v>
      </c>
      <c r="K2" s="4">
        <f>K4+L4+M4+N4+O4</f>
        <v>8.3472000000000005E-2</v>
      </c>
      <c r="L2" s="64"/>
      <c r="M2" s="4"/>
      <c r="N2" s="65"/>
      <c r="O2" s="26"/>
      <c r="P2" s="4"/>
    </row>
    <row r="3" spans="1:26" ht="26.25" x14ac:dyDescent="0.4">
      <c r="A3" s="38"/>
      <c r="B3" s="70" t="s">
        <v>14</v>
      </c>
      <c r="C3" s="70" t="s">
        <v>56</v>
      </c>
      <c r="D3" s="70" t="s">
        <v>15</v>
      </c>
      <c r="E3" s="70" t="s">
        <v>8</v>
      </c>
      <c r="F3" s="70" t="s">
        <v>9</v>
      </c>
      <c r="G3" s="70" t="s">
        <v>57</v>
      </c>
      <c r="H3" s="70" t="s">
        <v>58</v>
      </c>
      <c r="I3" s="70" t="s">
        <v>77</v>
      </c>
      <c r="J3" s="70" t="s">
        <v>13</v>
      </c>
      <c r="K3" s="70" t="s">
        <v>16</v>
      </c>
      <c r="L3" s="70" t="s">
        <v>55</v>
      </c>
      <c r="M3" s="70" t="s">
        <v>44</v>
      </c>
      <c r="N3" s="70" t="s">
        <v>10</v>
      </c>
      <c r="O3" s="70" t="s">
        <v>12</v>
      </c>
      <c r="P3" s="71" t="s">
        <v>80</v>
      </c>
      <c r="Q3" s="71" t="s">
        <v>81</v>
      </c>
      <c r="R3" s="71" t="s">
        <v>82</v>
      </c>
      <c r="S3" s="71" t="s">
        <v>83</v>
      </c>
      <c r="T3" s="33" t="s">
        <v>45</v>
      </c>
      <c r="U3" s="33" t="s">
        <v>17</v>
      </c>
      <c r="V3" s="33" t="s">
        <v>84</v>
      </c>
      <c r="W3" s="33" t="s">
        <v>0</v>
      </c>
      <c r="X3" s="33" t="s">
        <v>11</v>
      </c>
      <c r="Y3" s="33" t="s">
        <v>10</v>
      </c>
      <c r="Z3" s="33" t="s">
        <v>46</v>
      </c>
    </row>
    <row r="4" spans="1:26" ht="23.25" x14ac:dyDescent="0.35">
      <c r="A4" s="38"/>
      <c r="B4" s="70">
        <f>100-C4-D4-E4-F4-G4-H4-I4-J4-K4-L4-M4-N4-O4</f>
        <v>78.964942370000003</v>
      </c>
      <c r="C4" s="71">
        <v>17.028380630000001</v>
      </c>
      <c r="D4" s="71">
        <v>3.8397329999999998</v>
      </c>
      <c r="E4" s="71"/>
      <c r="F4" s="71"/>
      <c r="G4" s="72"/>
      <c r="H4" s="72"/>
      <c r="I4" s="72"/>
      <c r="J4" s="71">
        <v>8.3472000000000005E-2</v>
      </c>
      <c r="K4" s="71">
        <v>8.3472000000000005E-2</v>
      </c>
      <c r="L4" s="72"/>
      <c r="M4" s="71"/>
      <c r="N4" s="72"/>
      <c r="O4" s="72"/>
      <c r="P4" s="71"/>
      <c r="Q4" s="71"/>
      <c r="R4" s="71"/>
      <c r="S4" s="71"/>
    </row>
    <row r="5" spans="1:26" ht="23.25" x14ac:dyDescent="0.35">
      <c r="A5" s="38"/>
      <c r="B5" s="70" t="s">
        <v>87</v>
      </c>
      <c r="C5" s="73">
        <f>B4/C4</f>
        <v>4.6372549501790177</v>
      </c>
      <c r="D5" s="73">
        <f>B4/D4</f>
        <v>20.565217000765418</v>
      </c>
      <c r="E5" s="73" t="e">
        <f>B4/E4</f>
        <v>#DIV/0!</v>
      </c>
      <c r="F5" s="73" t="e">
        <f>B4/F4</f>
        <v>#DIV/0!</v>
      </c>
      <c r="G5" s="74" t="e">
        <f>B4/G4</f>
        <v>#DIV/0!</v>
      </c>
      <c r="H5" s="74" t="e">
        <f>B4/H4</f>
        <v>#DIV/0!</v>
      </c>
      <c r="I5" s="74" t="e">
        <f>B4/I4</f>
        <v>#DIV/0!</v>
      </c>
      <c r="J5" s="75">
        <f>B4/J4</f>
        <v>946.00515586064785</v>
      </c>
      <c r="K5" s="75">
        <f>B4/K4</f>
        <v>946.00515586064785</v>
      </c>
      <c r="L5" s="75" t="e">
        <f>B4/L4</f>
        <v>#DIV/0!</v>
      </c>
      <c r="M5" s="75" t="e">
        <f>B4/M4</f>
        <v>#DIV/0!</v>
      </c>
      <c r="N5" s="75" t="e">
        <f>B4/N4</f>
        <v>#DIV/0!</v>
      </c>
      <c r="O5" s="75" t="e">
        <f>B4/O4</f>
        <v>#DIV/0!</v>
      </c>
      <c r="P5" s="71" t="e">
        <f>B4/P4</f>
        <v>#DIV/0!</v>
      </c>
      <c r="Q5" s="71"/>
      <c r="R5" s="71"/>
      <c r="S5" s="71"/>
    </row>
    <row r="6" spans="1:26" ht="23.25" x14ac:dyDescent="0.35">
      <c r="B6" s="71"/>
      <c r="C6" s="71">
        <f>599*B4/100/C5</f>
        <v>101.9999999737</v>
      </c>
      <c r="D6" s="71">
        <f>599*B4/100/D5</f>
        <v>23.000000669999999</v>
      </c>
      <c r="E6" s="71" t="e">
        <f>599*B4/100/E5</f>
        <v>#DIV/0!</v>
      </c>
      <c r="F6" s="71" t="e">
        <f>599*B4/100/F5</f>
        <v>#DIV/0!</v>
      </c>
      <c r="G6" s="71" t="e">
        <f>599*B4/100/G5</f>
        <v>#DIV/0!</v>
      </c>
      <c r="H6" s="71" t="e">
        <f>599*B4/100/H5</f>
        <v>#DIV/0!</v>
      </c>
      <c r="I6" s="71" t="e">
        <f>599*B4/100/I5</f>
        <v>#DIV/0!</v>
      </c>
      <c r="J6" s="71">
        <f>599*B4/100/J5</f>
        <v>0.49999728000000004</v>
      </c>
      <c r="K6" s="71">
        <f>599*B4/100/K5</f>
        <v>0.49999728000000004</v>
      </c>
      <c r="L6" s="71" t="e">
        <f>599*B4/100/L5</f>
        <v>#DIV/0!</v>
      </c>
      <c r="M6" s="71" t="e">
        <f>599*B4/100/M5</f>
        <v>#DIV/0!</v>
      </c>
      <c r="N6" s="71" t="e">
        <f>599*B4/100/N5</f>
        <v>#DIV/0!</v>
      </c>
      <c r="O6" s="71" t="e">
        <f>599*B4/100/O5</f>
        <v>#DIV/0!</v>
      </c>
      <c r="P6" s="71" t="e">
        <f>599*N4/100/P5</f>
        <v>#DIV/0!</v>
      </c>
      <c r="Q6" s="71" t="e">
        <f>599*P4/100/Q5</f>
        <v>#DIV/0!</v>
      </c>
      <c r="R6" s="71"/>
      <c r="S6" s="71"/>
    </row>
    <row r="7" spans="1:26" ht="23.25" x14ac:dyDescent="0.35">
      <c r="A7" s="42"/>
      <c r="B7" s="71" t="s">
        <v>88</v>
      </c>
      <c r="C7" s="76">
        <f>C4+E4+F4</f>
        <v>17.028380630000001</v>
      </c>
      <c r="D7" s="77"/>
      <c r="E7" s="77" t="e">
        <f>C6+F6+E6</f>
        <v>#DIV/0!</v>
      </c>
      <c r="F7" s="77"/>
      <c r="G7" s="77">
        <v>94</v>
      </c>
      <c r="H7" s="77"/>
      <c r="I7" s="77"/>
      <c r="J7" s="77" t="e">
        <f>J6+O6</f>
        <v>#DIV/0!</v>
      </c>
      <c r="K7" s="77"/>
      <c r="L7" s="77"/>
      <c r="M7" s="77"/>
      <c r="N7" s="77"/>
      <c r="O7" s="77"/>
      <c r="P7" s="77"/>
      <c r="Q7" s="71"/>
      <c r="R7" s="71"/>
      <c r="S7" s="71"/>
    </row>
    <row r="8" spans="1:26" ht="23.25" x14ac:dyDescent="0.35">
      <c r="A8" s="45"/>
      <c r="B8" s="78" t="s">
        <v>89</v>
      </c>
      <c r="C8" s="79">
        <f>K4+M4</f>
        <v>8.3472000000000005E-2</v>
      </c>
      <c r="D8" s="71"/>
      <c r="E8" s="80" t="e">
        <f>K6+M6</f>
        <v>#DIV/0!</v>
      </c>
      <c r="F8" s="71"/>
      <c r="G8" s="71">
        <v>0.5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26" ht="23.25" x14ac:dyDescent="0.35">
      <c r="A9" s="42"/>
      <c r="B9" s="71" t="s">
        <v>13</v>
      </c>
      <c r="C9" s="71">
        <f>J4</f>
        <v>8.3472000000000005E-2</v>
      </c>
      <c r="D9" s="71"/>
      <c r="E9" s="71">
        <f>J6</f>
        <v>0.49999728000000004</v>
      </c>
      <c r="F9" s="71"/>
      <c r="G9" s="71">
        <v>0.5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26" ht="23.25" x14ac:dyDescent="0.35">
      <c r="B10" s="71" t="s">
        <v>15</v>
      </c>
      <c r="C10" s="89">
        <f>D4</f>
        <v>3.8397329999999998</v>
      </c>
      <c r="D10" s="89"/>
      <c r="E10" s="89">
        <f>D6</f>
        <v>23.000000669999999</v>
      </c>
      <c r="F10" s="89"/>
      <c r="G10" s="89">
        <v>23</v>
      </c>
      <c r="N10" s="71"/>
      <c r="O10" s="71"/>
      <c r="P10" s="71"/>
      <c r="Q10" s="71"/>
      <c r="R10" s="71"/>
      <c r="S10" s="71"/>
    </row>
    <row r="11" spans="1:26" ht="23.25" x14ac:dyDescent="0.35">
      <c r="C11" s="89"/>
      <c r="D11" s="89"/>
      <c r="E11" s="89" t="e">
        <f>E7+E8+E9+E10</f>
        <v>#DIV/0!</v>
      </c>
      <c r="F11" s="89"/>
      <c r="G11" s="89">
        <f>G7+G8+G9+G10</f>
        <v>118</v>
      </c>
      <c r="N11" s="71"/>
      <c r="O11" s="71"/>
      <c r="P11" s="71"/>
      <c r="Q11" s="71"/>
      <c r="R11" s="71"/>
      <c r="S11" s="71"/>
    </row>
    <row r="12" spans="1:26" ht="23.25" x14ac:dyDescent="0.35">
      <c r="N12" s="71"/>
      <c r="O12" s="71"/>
      <c r="P12" s="71"/>
      <c r="Q12" s="71"/>
      <c r="R12" s="71"/>
      <c r="S12" s="71"/>
    </row>
    <row r="13" spans="1:26" ht="23.25" x14ac:dyDescent="0.35">
      <c r="N13" s="71"/>
      <c r="O13" s="71"/>
      <c r="P13" s="71"/>
      <c r="Q13" s="71"/>
      <c r="R13" s="71"/>
      <c r="S13" s="71"/>
    </row>
    <row r="14" spans="1:26" ht="23.25" x14ac:dyDescent="0.35">
      <c r="N14" s="71"/>
      <c r="O14" s="71"/>
      <c r="P14" s="71"/>
      <c r="Q14" s="71"/>
      <c r="R14" s="71"/>
      <c r="S14" s="71"/>
    </row>
    <row r="15" spans="1:26" ht="23.25" x14ac:dyDescent="0.35">
      <c r="N15" s="71"/>
      <c r="O15" s="71"/>
      <c r="P15" s="71"/>
      <c r="Q15" s="71"/>
      <c r="R15" s="71"/>
      <c r="S15" s="71"/>
    </row>
    <row r="16" spans="1:26" ht="23.25" x14ac:dyDescent="0.35">
      <c r="A16" s="42"/>
      <c r="B16" s="71">
        <v>102</v>
      </c>
      <c r="C16" s="81">
        <f>B16*100/599</f>
        <v>17.028380634390651</v>
      </c>
      <c r="D16" s="71">
        <v>94.49</v>
      </c>
      <c r="E16" s="83"/>
      <c r="F16" s="71">
        <v>7</v>
      </c>
      <c r="G16" s="81">
        <f t="shared" ref="G16:G18" si="0">F16*100/599</f>
        <v>1.1686143572621035</v>
      </c>
      <c r="H16" s="71"/>
      <c r="I16" s="71" t="s">
        <v>72</v>
      </c>
      <c r="J16" s="84"/>
      <c r="K16" s="71" t="s">
        <v>73</v>
      </c>
      <c r="L16" s="71"/>
      <c r="M16" s="71"/>
      <c r="N16" s="71"/>
      <c r="O16" s="71"/>
      <c r="P16" s="71"/>
      <c r="Q16" s="71"/>
      <c r="R16" s="71"/>
      <c r="S16" s="71"/>
    </row>
    <row r="17" spans="1:19" ht="23.25" x14ac:dyDescent="0.35">
      <c r="A17" s="42"/>
      <c r="B17" s="71">
        <v>0.5</v>
      </c>
      <c r="C17" s="81">
        <f t="shared" ref="C17:C18" si="1">B17*100/599</f>
        <v>8.347245409015025E-2</v>
      </c>
      <c r="D17" s="71">
        <v>95.82</v>
      </c>
      <c r="E17" s="83"/>
      <c r="F17" s="71">
        <v>8</v>
      </c>
      <c r="G17" s="81">
        <f t="shared" si="0"/>
        <v>1.335559265442404</v>
      </c>
      <c r="H17" s="71"/>
      <c r="I17" s="85" t="s">
        <v>74</v>
      </c>
      <c r="J17" s="71"/>
      <c r="K17" s="86" t="s">
        <v>75</v>
      </c>
      <c r="L17" s="71"/>
      <c r="M17" s="77"/>
      <c r="N17" s="71"/>
      <c r="O17" s="71"/>
      <c r="P17" s="71"/>
      <c r="Q17" s="71"/>
      <c r="R17" s="71"/>
      <c r="S17" s="71"/>
    </row>
    <row r="18" spans="1:19" ht="23.25" x14ac:dyDescent="0.35">
      <c r="A18" s="42"/>
      <c r="B18" s="71">
        <v>23</v>
      </c>
      <c r="C18" s="81">
        <f t="shared" si="1"/>
        <v>3.8397328881469117</v>
      </c>
      <c r="D18" s="71">
        <v>89.48</v>
      </c>
      <c r="E18" s="83" t="s">
        <v>42</v>
      </c>
      <c r="F18" s="71">
        <v>9</v>
      </c>
      <c r="G18" s="81">
        <f t="shared" si="0"/>
        <v>1.5025041736227045</v>
      </c>
      <c r="H18" s="71"/>
      <c r="I18" s="71" t="s">
        <v>76</v>
      </c>
      <c r="J18" s="84"/>
      <c r="K18" s="71"/>
      <c r="L18" s="71"/>
      <c r="M18" s="71"/>
      <c r="N18" s="71"/>
      <c r="O18" s="71"/>
      <c r="P18" s="71"/>
      <c r="Q18" s="71"/>
      <c r="R18" s="71"/>
      <c r="S18" s="71"/>
    </row>
    <row r="19" spans="1:19" ht="23.25" x14ac:dyDescent="0.35">
      <c r="A19" s="29"/>
      <c r="B19" s="70"/>
      <c r="C19" s="71"/>
      <c r="D19" s="82"/>
      <c r="E19" s="71"/>
      <c r="F19" s="81"/>
      <c r="G19" s="71"/>
      <c r="H19" s="87"/>
      <c r="I19" s="78"/>
      <c r="J19" s="81"/>
      <c r="K19" s="75"/>
      <c r="L19" s="75"/>
      <c r="M19" s="75"/>
      <c r="N19" s="75"/>
      <c r="O19" s="75"/>
      <c r="P19" s="75"/>
      <c r="Q19" s="75"/>
      <c r="R19" s="71"/>
      <c r="S19" s="71"/>
    </row>
    <row r="20" spans="1:19" ht="23.25" x14ac:dyDescent="0.35">
      <c r="A20" s="2"/>
      <c r="B20" s="70"/>
      <c r="C20" s="70"/>
      <c r="D20" s="70"/>
      <c r="E20" s="88"/>
      <c r="F20" s="88"/>
      <c r="G20" s="70"/>
      <c r="H20" s="70"/>
      <c r="I20" s="70"/>
      <c r="J20" s="70"/>
      <c r="K20" s="70"/>
      <c r="L20" s="88"/>
      <c r="M20" s="70"/>
      <c r="N20" s="88"/>
      <c r="O20" s="70"/>
      <c r="P20" s="70"/>
      <c r="Q20" s="70"/>
      <c r="R20" s="71"/>
      <c r="S20" s="71"/>
    </row>
    <row r="21" spans="1:19" ht="23.25" x14ac:dyDescent="0.35">
      <c r="A21" s="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0"/>
      <c r="P21" s="70"/>
      <c r="Q21" s="70"/>
      <c r="R21" s="71"/>
      <c r="S21" s="71"/>
    </row>
    <row r="22" spans="1:19" ht="23.25" x14ac:dyDescent="0.35">
      <c r="A22" s="3"/>
      <c r="B22" s="73"/>
      <c r="C22" s="73"/>
      <c r="D22" s="73"/>
      <c r="E22" s="73"/>
      <c r="F22" s="74"/>
      <c r="G22" s="74"/>
      <c r="H22" s="74"/>
      <c r="I22" s="75"/>
      <c r="J22" s="75"/>
      <c r="K22" s="75"/>
      <c r="L22" s="75"/>
      <c r="M22" s="75"/>
      <c r="N22" s="75"/>
      <c r="O22" s="88"/>
      <c r="P22" s="70"/>
      <c r="Q22" s="70"/>
      <c r="R22" s="71"/>
      <c r="S22" s="71"/>
    </row>
    <row r="23" spans="1:19" ht="23.25" x14ac:dyDescent="0.35"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0"/>
      <c r="P23" s="70"/>
      <c r="Q23" s="70"/>
      <c r="R23" s="71"/>
      <c r="S23" s="71"/>
    </row>
    <row r="24" spans="1:19" ht="23.25" x14ac:dyDescent="0.35">
      <c r="B24" s="71" t="s">
        <v>6</v>
      </c>
      <c r="C24" s="71" t="s">
        <v>53</v>
      </c>
      <c r="D24" s="71" t="s">
        <v>52</v>
      </c>
      <c r="E24" s="71" t="s">
        <v>1</v>
      </c>
      <c r="F24" s="71" t="s">
        <v>47</v>
      </c>
      <c r="G24" s="71" t="s">
        <v>54</v>
      </c>
      <c r="H24" s="71" t="s">
        <v>4</v>
      </c>
      <c r="I24" s="71" t="s">
        <v>49</v>
      </c>
      <c r="J24" s="71" t="s">
        <v>2</v>
      </c>
      <c r="K24" s="71" t="s">
        <v>3</v>
      </c>
      <c r="L24" s="71" t="s">
        <v>48</v>
      </c>
      <c r="M24" s="71" t="s">
        <v>85</v>
      </c>
      <c r="N24" s="71" t="s">
        <v>5</v>
      </c>
      <c r="O24" s="71" t="s">
        <v>86</v>
      </c>
      <c r="P24" s="71"/>
      <c r="Q24" s="71"/>
      <c r="R24" s="71"/>
      <c r="S24" s="71"/>
    </row>
    <row r="25" spans="1:19" ht="23.25" x14ac:dyDescent="0.35">
      <c r="B25" s="71">
        <v>93.774999999999991</v>
      </c>
      <c r="C25" s="71"/>
      <c r="D25" s="71"/>
      <c r="E25" s="71"/>
      <c r="F25" s="71">
        <v>2.5000000000000001E-2</v>
      </c>
      <c r="G25" s="71">
        <v>3.85</v>
      </c>
      <c r="H25" s="71">
        <v>2.2000000000000002</v>
      </c>
      <c r="I25" s="71"/>
      <c r="J25" s="71">
        <v>0.01</v>
      </c>
      <c r="K25" s="71">
        <v>2.5000000000000001E-2</v>
      </c>
      <c r="L25" s="71">
        <v>7.0000000000000007E-2</v>
      </c>
      <c r="M25" s="71"/>
      <c r="N25" s="71">
        <v>4.4999999999999998E-2</v>
      </c>
      <c r="O25" s="71"/>
      <c r="P25" s="71"/>
      <c r="Q25" s="71"/>
      <c r="R25" s="71"/>
      <c r="S25" s="71"/>
    </row>
    <row r="26" spans="1:19" ht="23.25" x14ac:dyDescent="0.35">
      <c r="B26" s="71">
        <v>80.644157300439971</v>
      </c>
      <c r="C26" s="71">
        <v>0</v>
      </c>
      <c r="D26" s="71">
        <v>0</v>
      </c>
      <c r="E26" s="71">
        <v>0</v>
      </c>
      <c r="F26" s="71">
        <v>1.8894005743496499E-2</v>
      </c>
      <c r="G26" s="71">
        <v>15.393910844382363</v>
      </c>
      <c r="H26" s="71">
        <v>3.7616596401949636</v>
      </c>
      <c r="I26" s="71">
        <v>0</v>
      </c>
      <c r="J26" s="71">
        <v>8.1817260998195175E-3</v>
      </c>
      <c r="K26" s="71">
        <v>2.3091462299322321E-2</v>
      </c>
      <c r="L26" s="71">
        <v>6.1195527941688498E-2</v>
      </c>
      <c r="M26" s="71">
        <v>0</v>
      </c>
      <c r="N26" s="71">
        <v>8.8909492898382264E-2</v>
      </c>
      <c r="O26" s="71">
        <v>0</v>
      </c>
      <c r="P26" s="71"/>
      <c r="Q26" s="71"/>
      <c r="R26" s="71"/>
      <c r="S26" s="71"/>
    </row>
    <row r="27" spans="1:19" ht="23.25" x14ac:dyDescent="0.35"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</row>
    <row r="28" spans="1:19" ht="23.25" x14ac:dyDescent="0.35"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</row>
    <row r="29" spans="1:19" ht="23.25" x14ac:dyDescent="0.35"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</row>
  </sheetData>
  <pageMargins left="0.7" right="0.7" top="0.78740157499999996" bottom="0.78740157499999996" header="0.3" footer="0.3"/>
  <pageSetup paperSize="9" orientation="portrait" verticalDpi="597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BB66-7E75-4DEA-AC5E-372A82663C57}">
  <dimension ref="A1:Z29"/>
  <sheetViews>
    <sheetView workbookViewId="0">
      <selection activeCell="C4" sqref="C4:S4"/>
    </sheetView>
  </sheetViews>
  <sheetFormatPr baseColWidth="10" defaultRowHeight="15" x14ac:dyDescent="0.25"/>
  <cols>
    <col min="2" max="2" width="17.28515625" customWidth="1"/>
    <col min="3" max="3" width="23.140625" customWidth="1"/>
    <col min="4" max="4" width="11.5703125" bestFit="1" customWidth="1"/>
    <col min="5" max="5" width="13" bestFit="1" customWidth="1"/>
    <col min="6" max="8" width="11.5703125" bestFit="1" customWidth="1"/>
    <col min="9" max="9" width="13.5703125" customWidth="1"/>
    <col min="10" max="11" width="11.5703125" bestFit="1" customWidth="1"/>
    <col min="12" max="13" width="20.28515625" bestFit="1" customWidth="1"/>
    <col min="14" max="14" width="11.5703125" bestFit="1" customWidth="1"/>
    <col min="15" max="15" width="20.28515625" bestFit="1" customWidth="1"/>
    <col min="16" max="17" width="12.140625" bestFit="1" customWidth="1"/>
  </cols>
  <sheetData>
    <row r="1" spans="1:26" ht="18" x14ac:dyDescent="0.25">
      <c r="A1" s="34"/>
      <c r="B1" s="38"/>
      <c r="C1" s="3"/>
      <c r="D1" s="3"/>
      <c r="E1" s="39"/>
      <c r="F1" s="1"/>
      <c r="G1" s="40"/>
      <c r="H1" s="3"/>
      <c r="I1" s="3"/>
      <c r="J1" s="12"/>
      <c r="K1" s="39"/>
      <c r="L1" s="3"/>
      <c r="M1" s="3"/>
      <c r="N1" s="3"/>
      <c r="O1" s="3"/>
    </row>
    <row r="2" spans="1:26" ht="15.75" x14ac:dyDescent="0.25">
      <c r="B2" s="3">
        <f>C2+D2+E2+F2+G2+H2+I2+J2+K2+L2+M2+N2+O2</f>
        <v>21.36894745</v>
      </c>
      <c r="C2" s="64">
        <f>C4+D4+E4+F4+G4+H4+I4</f>
        <v>21.202003449999999</v>
      </c>
      <c r="D2" s="64"/>
      <c r="E2" s="3"/>
      <c r="F2" s="3"/>
      <c r="G2" s="3"/>
      <c r="H2" s="26"/>
      <c r="I2" s="3"/>
      <c r="J2" s="26">
        <f>J4</f>
        <v>8.3472000000000005E-2</v>
      </c>
      <c r="K2" s="4">
        <f>K4+L4+M4+N4+O4</f>
        <v>8.3472000000000005E-2</v>
      </c>
      <c r="L2" s="64"/>
      <c r="M2" s="4"/>
      <c r="N2" s="65"/>
      <c r="O2" s="26"/>
      <c r="P2" s="4"/>
    </row>
    <row r="3" spans="1:26" ht="26.25" x14ac:dyDescent="0.4">
      <c r="A3" s="38"/>
      <c r="B3" s="70" t="s">
        <v>14</v>
      </c>
      <c r="C3" s="70" t="s">
        <v>56</v>
      </c>
      <c r="D3" s="70" t="s">
        <v>15</v>
      </c>
      <c r="E3" s="70" t="s">
        <v>8</v>
      </c>
      <c r="F3" s="70" t="s">
        <v>9</v>
      </c>
      <c r="G3" s="70" t="s">
        <v>57</v>
      </c>
      <c r="H3" s="70" t="s">
        <v>58</v>
      </c>
      <c r="I3" s="70" t="s">
        <v>77</v>
      </c>
      <c r="J3" s="70" t="s">
        <v>13</v>
      </c>
      <c r="K3" s="70" t="s">
        <v>16</v>
      </c>
      <c r="L3" s="70" t="s">
        <v>55</v>
      </c>
      <c r="M3" s="70" t="s">
        <v>44</v>
      </c>
      <c r="N3" s="70" t="s">
        <v>10</v>
      </c>
      <c r="O3" s="70" t="s">
        <v>12</v>
      </c>
      <c r="P3" s="71" t="s">
        <v>80</v>
      </c>
      <c r="Q3" s="71" t="s">
        <v>81</v>
      </c>
      <c r="R3" s="71" t="s">
        <v>82</v>
      </c>
      <c r="S3" s="71" t="s">
        <v>83</v>
      </c>
      <c r="T3" s="33" t="s">
        <v>45</v>
      </c>
      <c r="U3" s="33" t="s">
        <v>17</v>
      </c>
      <c r="V3" s="33" t="s">
        <v>84</v>
      </c>
      <c r="W3" s="33" t="s">
        <v>0</v>
      </c>
      <c r="X3" s="33" t="s">
        <v>11</v>
      </c>
      <c r="Y3" s="33" t="s">
        <v>10</v>
      </c>
      <c r="Z3" s="33" t="s">
        <v>46</v>
      </c>
    </row>
    <row r="4" spans="1:26" ht="23.25" x14ac:dyDescent="0.35">
      <c r="A4" s="38"/>
      <c r="B4" s="70">
        <f>100-C4-D4-E4-F4-G4-H4-I4-J4-K4-L4-M4-N4-O4</f>
        <v>78.631052550000007</v>
      </c>
      <c r="C4" s="71">
        <v>17.36227045</v>
      </c>
      <c r="D4" s="71">
        <v>3.8397329999999998</v>
      </c>
      <c r="E4" s="71"/>
      <c r="F4" s="71"/>
      <c r="G4" s="72"/>
      <c r="H4" s="72"/>
      <c r="I4" s="72"/>
      <c r="J4" s="71">
        <v>8.3472000000000005E-2</v>
      </c>
      <c r="K4" s="71">
        <v>8.3472000000000005E-2</v>
      </c>
      <c r="L4" s="72"/>
      <c r="M4" s="71"/>
      <c r="N4" s="72"/>
      <c r="O4" s="72"/>
      <c r="P4" s="71"/>
      <c r="Q4" s="71"/>
      <c r="R4" s="71"/>
      <c r="S4" s="71"/>
    </row>
    <row r="5" spans="1:26" ht="23.25" x14ac:dyDescent="0.35">
      <c r="A5" s="38"/>
      <c r="B5" s="70" t="s">
        <v>87</v>
      </c>
      <c r="C5" s="73">
        <f>B4/C4</f>
        <v>4.5288461999507676</v>
      </c>
      <c r="D5" s="73">
        <f>B4/D4</f>
        <v>20.478260480611546</v>
      </c>
      <c r="E5" s="73" t="e">
        <f>B4/E4</f>
        <v>#DIV/0!</v>
      </c>
      <c r="F5" s="73" t="e">
        <f>B4/F4</f>
        <v>#DIV/0!</v>
      </c>
      <c r="G5" s="74" t="e">
        <f>B4/G4</f>
        <v>#DIV/0!</v>
      </c>
      <c r="H5" s="74" t="e">
        <f>B4/H4</f>
        <v>#DIV/0!</v>
      </c>
      <c r="I5" s="74" t="e">
        <f>B4/I4</f>
        <v>#DIV/0!</v>
      </c>
      <c r="J5" s="75">
        <f>B4/J4</f>
        <v>942.00513405692925</v>
      </c>
      <c r="K5" s="75">
        <f>B4/K4</f>
        <v>942.00513405692925</v>
      </c>
      <c r="L5" s="75" t="e">
        <f>B4/L4</f>
        <v>#DIV/0!</v>
      </c>
      <c r="M5" s="75" t="e">
        <f>B4/M4</f>
        <v>#DIV/0!</v>
      </c>
      <c r="N5" s="75" t="e">
        <f>B4/N4</f>
        <v>#DIV/0!</v>
      </c>
      <c r="O5" s="75" t="e">
        <f>B4/O4</f>
        <v>#DIV/0!</v>
      </c>
      <c r="P5" s="71" t="e">
        <f>B4/P4</f>
        <v>#DIV/0!</v>
      </c>
      <c r="Q5" s="71"/>
      <c r="R5" s="71"/>
      <c r="S5" s="71"/>
    </row>
    <row r="6" spans="1:26" ht="23.25" x14ac:dyDescent="0.35">
      <c r="B6" s="71"/>
      <c r="C6" s="71">
        <f>599*B4/100/C5</f>
        <v>103.9999999955</v>
      </c>
      <c r="D6" s="71">
        <f>599*B4/100/D5</f>
        <v>23.000000669999999</v>
      </c>
      <c r="E6" s="71" t="e">
        <f>599*B4/100/E5</f>
        <v>#DIV/0!</v>
      </c>
      <c r="F6" s="71" t="e">
        <f>599*B4/100/F5</f>
        <v>#DIV/0!</v>
      </c>
      <c r="G6" s="71" t="e">
        <f>599*B4/100/G5</f>
        <v>#DIV/0!</v>
      </c>
      <c r="H6" s="71" t="e">
        <f>599*B4/100/H5</f>
        <v>#DIV/0!</v>
      </c>
      <c r="I6" s="71" t="e">
        <f>599*B4/100/I5</f>
        <v>#DIV/0!</v>
      </c>
      <c r="J6" s="71">
        <f>599*B4/100/J5</f>
        <v>0.49999728000000004</v>
      </c>
      <c r="K6" s="71">
        <f>599*B4/100/K5</f>
        <v>0.49999728000000004</v>
      </c>
      <c r="L6" s="71" t="e">
        <f>599*B4/100/L5</f>
        <v>#DIV/0!</v>
      </c>
      <c r="M6" s="71" t="e">
        <f>599*B4/100/M5</f>
        <v>#DIV/0!</v>
      </c>
      <c r="N6" s="71" t="e">
        <f>599*B4/100/N5</f>
        <v>#DIV/0!</v>
      </c>
      <c r="O6" s="71" t="e">
        <f>599*B4/100/O5</f>
        <v>#DIV/0!</v>
      </c>
      <c r="P6" s="71" t="e">
        <f>599*N4/100/P5</f>
        <v>#DIV/0!</v>
      </c>
      <c r="Q6" s="71" t="e">
        <f>599*P4/100/Q5</f>
        <v>#DIV/0!</v>
      </c>
      <c r="R6" s="71"/>
      <c r="S6" s="71"/>
    </row>
    <row r="7" spans="1:26" ht="23.25" x14ac:dyDescent="0.35">
      <c r="A7" s="42"/>
      <c r="B7" s="71" t="s">
        <v>88</v>
      </c>
      <c r="C7" s="76">
        <f>C4+E4+F4</f>
        <v>17.36227045</v>
      </c>
      <c r="D7" s="77"/>
      <c r="E7" s="77" t="e">
        <f>C6+F6+E6</f>
        <v>#DIV/0!</v>
      </c>
      <c r="F7" s="77"/>
      <c r="G7" s="77">
        <v>104</v>
      </c>
      <c r="H7" s="77"/>
      <c r="I7" s="77"/>
      <c r="J7" s="77" t="e">
        <f>J6+O6</f>
        <v>#DIV/0!</v>
      </c>
      <c r="K7" s="77"/>
      <c r="L7" s="77"/>
      <c r="M7" s="77"/>
      <c r="N7" s="77"/>
      <c r="O7" s="77"/>
      <c r="P7" s="77"/>
      <c r="Q7" s="71"/>
      <c r="R7" s="71"/>
      <c r="S7" s="71"/>
    </row>
    <row r="8" spans="1:26" ht="23.25" x14ac:dyDescent="0.35">
      <c r="A8" s="45"/>
      <c r="B8" s="78" t="s">
        <v>89</v>
      </c>
      <c r="C8" s="79">
        <f>K4+M4</f>
        <v>8.3472000000000005E-2</v>
      </c>
      <c r="D8" s="71"/>
      <c r="E8" s="80" t="e">
        <f>K6+M6</f>
        <v>#DIV/0!</v>
      </c>
      <c r="F8" s="71"/>
      <c r="G8" s="71">
        <v>0.5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26" ht="23.25" x14ac:dyDescent="0.35">
      <c r="A9" s="42"/>
      <c r="B9" s="71" t="s">
        <v>13</v>
      </c>
      <c r="C9" s="71">
        <f>J4</f>
        <v>8.3472000000000005E-2</v>
      </c>
      <c r="D9" s="71"/>
      <c r="E9" s="71">
        <f>J6</f>
        <v>0.49999728000000004</v>
      </c>
      <c r="F9" s="71"/>
      <c r="G9" s="71">
        <v>0.5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26" ht="23.25" x14ac:dyDescent="0.35">
      <c r="B10" s="71" t="s">
        <v>15</v>
      </c>
      <c r="C10" s="89">
        <f>D4</f>
        <v>3.8397329999999998</v>
      </c>
      <c r="D10" s="89"/>
      <c r="E10" s="89">
        <f>D6</f>
        <v>23.000000669999999</v>
      </c>
      <c r="F10" s="89"/>
      <c r="G10" s="89">
        <v>23</v>
      </c>
      <c r="N10" s="71"/>
      <c r="O10" s="71"/>
      <c r="P10" s="71"/>
      <c r="Q10" s="71"/>
      <c r="R10" s="71"/>
      <c r="S10" s="71"/>
    </row>
    <row r="11" spans="1:26" ht="23.25" x14ac:dyDescent="0.35">
      <c r="C11" s="89"/>
      <c r="D11" s="89"/>
      <c r="E11" s="89" t="e">
        <f>E7+E8+E9+E10</f>
        <v>#DIV/0!</v>
      </c>
      <c r="F11" s="89"/>
      <c r="G11" s="89">
        <f>G7+G8+G9+G10</f>
        <v>128</v>
      </c>
      <c r="N11" s="71"/>
      <c r="O11" s="71"/>
      <c r="P11" s="71"/>
      <c r="Q11" s="71"/>
      <c r="R11" s="71"/>
      <c r="S11" s="71"/>
    </row>
    <row r="12" spans="1:26" ht="23.25" x14ac:dyDescent="0.35">
      <c r="N12" s="71"/>
      <c r="O12" s="71"/>
      <c r="P12" s="71"/>
      <c r="Q12" s="71"/>
      <c r="R12" s="71"/>
      <c r="S12" s="71"/>
    </row>
    <row r="13" spans="1:26" ht="23.25" x14ac:dyDescent="0.35">
      <c r="N13" s="71"/>
      <c r="O13" s="71"/>
      <c r="P13" s="71"/>
      <c r="Q13" s="71"/>
      <c r="R13" s="71"/>
      <c r="S13" s="71"/>
    </row>
    <row r="14" spans="1:26" ht="23.25" x14ac:dyDescent="0.35">
      <c r="N14" s="71"/>
      <c r="O14" s="71"/>
      <c r="P14" s="71"/>
      <c r="Q14" s="71"/>
      <c r="R14" s="71"/>
      <c r="S14" s="71"/>
    </row>
    <row r="15" spans="1:26" ht="23.25" x14ac:dyDescent="0.35">
      <c r="N15" s="71"/>
      <c r="O15" s="71"/>
      <c r="P15" s="71"/>
      <c r="Q15" s="71"/>
      <c r="R15" s="71"/>
      <c r="S15" s="71"/>
    </row>
    <row r="16" spans="1:26" ht="23.25" x14ac:dyDescent="0.35">
      <c r="A16" s="42"/>
      <c r="B16" s="71">
        <v>104</v>
      </c>
      <c r="C16" s="81">
        <f>B16*100/599</f>
        <v>17.362270450751254</v>
      </c>
      <c r="D16" s="71">
        <v>94.49</v>
      </c>
      <c r="E16" s="83"/>
      <c r="F16" s="71">
        <v>7</v>
      </c>
      <c r="G16" s="81">
        <f t="shared" ref="G16:G18" si="0">F16*100/599</f>
        <v>1.1686143572621035</v>
      </c>
      <c r="H16" s="71"/>
      <c r="I16" s="71" t="s">
        <v>72</v>
      </c>
      <c r="J16" s="84"/>
      <c r="K16" s="71" t="s">
        <v>73</v>
      </c>
      <c r="L16" s="71"/>
      <c r="M16" s="71"/>
      <c r="N16" s="71"/>
      <c r="O16" s="71"/>
      <c r="P16" s="71"/>
      <c r="Q16" s="71"/>
      <c r="R16" s="71"/>
      <c r="S16" s="71"/>
    </row>
    <row r="17" spans="1:19" ht="23.25" x14ac:dyDescent="0.35">
      <c r="A17" s="42"/>
      <c r="B17" s="71">
        <v>0.5</v>
      </c>
      <c r="C17" s="81">
        <f t="shared" ref="C17:C18" si="1">B17*100/599</f>
        <v>8.347245409015025E-2</v>
      </c>
      <c r="D17" s="71">
        <v>95.82</v>
      </c>
      <c r="E17" s="83"/>
      <c r="F17" s="71">
        <v>8</v>
      </c>
      <c r="G17" s="81">
        <f t="shared" si="0"/>
        <v>1.335559265442404</v>
      </c>
      <c r="H17" s="71"/>
      <c r="I17" s="85" t="s">
        <v>74</v>
      </c>
      <c r="J17" s="71"/>
      <c r="K17" s="86" t="s">
        <v>75</v>
      </c>
      <c r="L17" s="71"/>
      <c r="M17" s="77"/>
      <c r="N17" s="71"/>
      <c r="O17" s="71"/>
      <c r="P17" s="71"/>
      <c r="Q17" s="71"/>
      <c r="R17" s="71"/>
      <c r="S17" s="71"/>
    </row>
    <row r="18" spans="1:19" ht="23.25" x14ac:dyDescent="0.35">
      <c r="A18" s="42"/>
      <c r="B18" s="71">
        <v>23</v>
      </c>
      <c r="C18" s="81">
        <f t="shared" si="1"/>
        <v>3.8397328881469117</v>
      </c>
      <c r="D18" s="71">
        <v>89.48</v>
      </c>
      <c r="E18" s="83" t="s">
        <v>42</v>
      </c>
      <c r="F18" s="71">
        <v>9</v>
      </c>
      <c r="G18" s="81">
        <f t="shared" si="0"/>
        <v>1.5025041736227045</v>
      </c>
      <c r="H18" s="71"/>
      <c r="I18" s="71" t="s">
        <v>76</v>
      </c>
      <c r="J18" s="84"/>
      <c r="K18" s="71"/>
      <c r="L18" s="71"/>
      <c r="M18" s="71"/>
      <c r="N18" s="71"/>
      <c r="O18" s="71"/>
      <c r="P18" s="71"/>
      <c r="Q18" s="71"/>
      <c r="R18" s="71"/>
      <c r="S18" s="71"/>
    </row>
    <row r="19" spans="1:19" ht="23.25" x14ac:dyDescent="0.35">
      <c r="A19" s="29"/>
      <c r="B19" s="70"/>
      <c r="C19" s="71"/>
      <c r="D19" s="82"/>
      <c r="E19" s="71"/>
      <c r="F19" s="81"/>
      <c r="G19" s="71"/>
      <c r="H19" s="87"/>
      <c r="I19" s="78"/>
      <c r="J19" s="81"/>
      <c r="K19" s="75"/>
      <c r="L19" s="75"/>
      <c r="M19" s="75"/>
      <c r="N19" s="75"/>
      <c r="O19" s="75"/>
      <c r="P19" s="75"/>
      <c r="Q19" s="75"/>
      <c r="R19" s="71"/>
      <c r="S19" s="71"/>
    </row>
    <row r="20" spans="1:19" ht="23.25" x14ac:dyDescent="0.35">
      <c r="A20" s="2"/>
      <c r="B20" s="70"/>
      <c r="C20" s="70"/>
      <c r="D20" s="70"/>
      <c r="E20" s="88"/>
      <c r="F20" s="88"/>
      <c r="G20" s="70"/>
      <c r="H20" s="70"/>
      <c r="I20" s="70"/>
      <c r="J20" s="70"/>
      <c r="K20" s="70"/>
      <c r="L20" s="88"/>
      <c r="M20" s="70"/>
      <c r="N20" s="88"/>
      <c r="O20" s="70"/>
      <c r="P20" s="70"/>
      <c r="Q20" s="70"/>
      <c r="R20" s="71"/>
      <c r="S20" s="71"/>
    </row>
    <row r="21" spans="1:19" ht="23.25" x14ac:dyDescent="0.35">
      <c r="A21" s="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0"/>
      <c r="P21" s="70"/>
      <c r="Q21" s="70"/>
      <c r="R21" s="71"/>
      <c r="S21" s="71"/>
    </row>
    <row r="22" spans="1:19" ht="23.25" x14ac:dyDescent="0.35">
      <c r="A22" s="3"/>
      <c r="B22" s="73"/>
      <c r="C22" s="73"/>
      <c r="D22" s="73"/>
      <c r="E22" s="73"/>
      <c r="F22" s="74"/>
      <c r="G22" s="74"/>
      <c r="H22" s="74"/>
      <c r="I22" s="75"/>
      <c r="J22" s="75"/>
      <c r="K22" s="75"/>
      <c r="L22" s="75"/>
      <c r="M22" s="75"/>
      <c r="N22" s="75"/>
      <c r="O22" s="88"/>
      <c r="P22" s="70"/>
      <c r="Q22" s="70"/>
      <c r="R22" s="71"/>
      <c r="S22" s="71"/>
    </row>
    <row r="23" spans="1:19" ht="23.25" x14ac:dyDescent="0.35"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0"/>
      <c r="P23" s="70"/>
      <c r="Q23" s="70"/>
      <c r="R23" s="71"/>
      <c r="S23" s="71"/>
    </row>
    <row r="24" spans="1:19" ht="23.25" x14ac:dyDescent="0.35">
      <c r="B24" s="71" t="s">
        <v>6</v>
      </c>
      <c r="C24" s="71" t="s">
        <v>53</v>
      </c>
      <c r="D24" s="71" t="s">
        <v>52</v>
      </c>
      <c r="E24" s="71" t="s">
        <v>1</v>
      </c>
      <c r="F24" s="71" t="s">
        <v>47</v>
      </c>
      <c r="G24" s="71" t="s">
        <v>54</v>
      </c>
      <c r="H24" s="71" t="s">
        <v>4</v>
      </c>
      <c r="I24" s="71" t="s">
        <v>49</v>
      </c>
      <c r="J24" s="71" t="s">
        <v>2</v>
      </c>
      <c r="K24" s="71" t="s">
        <v>3</v>
      </c>
      <c r="L24" s="71" t="s">
        <v>48</v>
      </c>
      <c r="M24" s="71" t="s">
        <v>85</v>
      </c>
      <c r="N24" s="71" t="s">
        <v>5</v>
      </c>
      <c r="O24" s="71" t="s">
        <v>86</v>
      </c>
      <c r="P24" s="71"/>
      <c r="Q24" s="71"/>
      <c r="R24" s="71"/>
      <c r="S24" s="71"/>
    </row>
    <row r="25" spans="1:19" ht="23.25" x14ac:dyDescent="0.35">
      <c r="B25" s="71">
        <v>93.774999999999991</v>
      </c>
      <c r="C25" s="71"/>
      <c r="D25" s="71"/>
      <c r="E25" s="71"/>
      <c r="F25" s="71">
        <v>2.5000000000000001E-2</v>
      </c>
      <c r="G25" s="71">
        <v>3.85</v>
      </c>
      <c r="H25" s="71">
        <v>2.2000000000000002</v>
      </c>
      <c r="I25" s="71"/>
      <c r="J25" s="71">
        <v>0.01</v>
      </c>
      <c r="K25" s="71">
        <v>2.5000000000000001E-2</v>
      </c>
      <c r="L25" s="71">
        <v>7.0000000000000007E-2</v>
      </c>
      <c r="M25" s="71"/>
      <c r="N25" s="71">
        <v>4.4999999999999998E-2</v>
      </c>
      <c r="O25" s="71"/>
      <c r="P25" s="71"/>
      <c r="Q25" s="71"/>
      <c r="R25" s="71"/>
      <c r="S25" s="71"/>
    </row>
    <row r="26" spans="1:19" ht="23.25" x14ac:dyDescent="0.35">
      <c r="B26" s="71">
        <v>80.644157300439971</v>
      </c>
      <c r="C26" s="71">
        <v>0</v>
      </c>
      <c r="D26" s="71">
        <v>0</v>
      </c>
      <c r="E26" s="71">
        <v>0</v>
      </c>
      <c r="F26" s="71">
        <v>1.8894005743496499E-2</v>
      </c>
      <c r="G26" s="71">
        <v>15.393910844382363</v>
      </c>
      <c r="H26" s="71">
        <v>3.7616596401949636</v>
      </c>
      <c r="I26" s="71">
        <v>0</v>
      </c>
      <c r="J26" s="71">
        <v>8.1817260998195175E-3</v>
      </c>
      <c r="K26" s="71">
        <v>2.3091462299322321E-2</v>
      </c>
      <c r="L26" s="71">
        <v>6.1195527941688498E-2</v>
      </c>
      <c r="M26" s="71">
        <v>0</v>
      </c>
      <c r="N26" s="71">
        <v>8.8909492898382264E-2</v>
      </c>
      <c r="O26" s="71">
        <v>0</v>
      </c>
      <c r="P26" s="71"/>
      <c r="Q26" s="71"/>
      <c r="R26" s="71"/>
      <c r="S26" s="71"/>
    </row>
    <row r="27" spans="1:19" ht="23.25" x14ac:dyDescent="0.35"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</row>
    <row r="28" spans="1:19" ht="23.25" x14ac:dyDescent="0.35"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</row>
    <row r="29" spans="1:19" ht="23.25" x14ac:dyDescent="0.35"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</row>
  </sheetData>
  <pageMargins left="0.7" right="0.7" top="0.78740157499999996" bottom="0.78740157499999996" header="0.3" footer="0.3"/>
  <pageSetup paperSize="9" orientation="portrait" verticalDpi="597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7B4A-7880-4495-97CC-9FE969531FED}">
  <dimension ref="A1:Z29"/>
  <sheetViews>
    <sheetView workbookViewId="0">
      <selection activeCell="C4" sqref="C4:R4"/>
    </sheetView>
  </sheetViews>
  <sheetFormatPr baseColWidth="10" defaultRowHeight="15" x14ac:dyDescent="0.25"/>
  <cols>
    <col min="2" max="2" width="17.28515625" customWidth="1"/>
    <col min="3" max="3" width="23.140625" customWidth="1"/>
    <col min="4" max="4" width="11.5703125" bestFit="1" customWidth="1"/>
    <col min="5" max="5" width="13" bestFit="1" customWidth="1"/>
    <col min="6" max="8" width="11.5703125" bestFit="1" customWidth="1"/>
    <col min="9" max="9" width="13.5703125" customWidth="1"/>
    <col min="10" max="11" width="11.5703125" bestFit="1" customWidth="1"/>
    <col min="12" max="13" width="20.28515625" bestFit="1" customWidth="1"/>
    <col min="14" max="14" width="11.5703125" bestFit="1" customWidth="1"/>
    <col min="15" max="15" width="20.28515625" bestFit="1" customWidth="1"/>
    <col min="16" max="17" width="12.140625" bestFit="1" customWidth="1"/>
  </cols>
  <sheetData>
    <row r="1" spans="1:26" ht="18" x14ac:dyDescent="0.25">
      <c r="A1" s="34"/>
      <c r="B1" s="38"/>
      <c r="C1" s="3"/>
      <c r="D1" s="3"/>
      <c r="E1" s="39"/>
      <c r="F1" s="1"/>
      <c r="G1" s="40"/>
      <c r="H1" s="3"/>
      <c r="I1" s="3"/>
      <c r="J1" s="12"/>
      <c r="K1" s="39"/>
      <c r="L1" s="3"/>
      <c r="M1" s="3"/>
      <c r="N1" s="3"/>
      <c r="O1" s="3"/>
    </row>
    <row r="2" spans="1:26" ht="15.75" x14ac:dyDescent="0.25">
      <c r="B2" s="3">
        <f>C2+D2+E2+F2+G2+H2+I2+J2+K2+L2+M2+N2+O2</f>
        <v>21.70283727</v>
      </c>
      <c r="C2" s="64">
        <f>C4+D4+E4+F4+G4+H4+I4</f>
        <v>21.535893269999999</v>
      </c>
      <c r="D2" s="64"/>
      <c r="E2" s="3"/>
      <c r="F2" s="3"/>
      <c r="G2" s="3"/>
      <c r="H2" s="26"/>
      <c r="I2" s="3"/>
      <c r="J2" s="26">
        <f>J4</f>
        <v>8.3472000000000005E-2</v>
      </c>
      <c r="K2" s="4">
        <f>K4+L4+M4+N4+O4</f>
        <v>8.3472000000000005E-2</v>
      </c>
      <c r="L2" s="64"/>
      <c r="M2" s="4"/>
      <c r="N2" s="65"/>
      <c r="O2" s="26"/>
      <c r="P2" s="4"/>
    </row>
    <row r="3" spans="1:26" ht="26.25" x14ac:dyDescent="0.4">
      <c r="A3" s="38"/>
      <c r="B3" s="70" t="s">
        <v>14</v>
      </c>
      <c r="C3" s="70" t="s">
        <v>56</v>
      </c>
      <c r="D3" s="70" t="s">
        <v>15</v>
      </c>
      <c r="E3" s="70" t="s">
        <v>8</v>
      </c>
      <c r="F3" s="70" t="s">
        <v>9</v>
      </c>
      <c r="G3" s="70" t="s">
        <v>57</v>
      </c>
      <c r="H3" s="70" t="s">
        <v>58</v>
      </c>
      <c r="I3" s="70" t="s">
        <v>77</v>
      </c>
      <c r="J3" s="70" t="s">
        <v>13</v>
      </c>
      <c r="K3" s="70" t="s">
        <v>16</v>
      </c>
      <c r="L3" s="70" t="s">
        <v>55</v>
      </c>
      <c r="M3" s="70" t="s">
        <v>44</v>
      </c>
      <c r="N3" s="70" t="s">
        <v>10</v>
      </c>
      <c r="O3" s="70" t="s">
        <v>12</v>
      </c>
      <c r="P3" s="71" t="s">
        <v>80</v>
      </c>
      <c r="Q3" s="71" t="s">
        <v>81</v>
      </c>
      <c r="R3" s="71" t="s">
        <v>82</v>
      </c>
      <c r="S3" s="71" t="s">
        <v>83</v>
      </c>
      <c r="T3" s="33" t="s">
        <v>45</v>
      </c>
      <c r="U3" s="33" t="s">
        <v>17</v>
      </c>
      <c r="V3" s="33" t="s">
        <v>84</v>
      </c>
      <c r="W3" s="33" t="s">
        <v>0</v>
      </c>
      <c r="X3" s="33" t="s">
        <v>11</v>
      </c>
      <c r="Y3" s="33" t="s">
        <v>10</v>
      </c>
      <c r="Z3" s="33" t="s">
        <v>46</v>
      </c>
    </row>
    <row r="4" spans="1:26" ht="23.25" x14ac:dyDescent="0.35">
      <c r="A4" s="38"/>
      <c r="B4" s="70">
        <f>100-C4-D4-E4-F4-G4-H4-I4-J4-K4-L4-M4-N4-O4</f>
        <v>78.297162729999997</v>
      </c>
      <c r="C4" s="71">
        <v>17.69616027</v>
      </c>
      <c r="D4" s="71">
        <v>3.8397329999999998</v>
      </c>
      <c r="E4" s="71"/>
      <c r="F4" s="71"/>
      <c r="G4" s="72"/>
      <c r="H4" s="72"/>
      <c r="I4" s="72"/>
      <c r="J4" s="71">
        <v>8.3472000000000005E-2</v>
      </c>
      <c r="K4" s="71">
        <v>8.3472000000000005E-2</v>
      </c>
      <c r="L4" s="72"/>
      <c r="M4" s="71"/>
      <c r="N4" s="72"/>
      <c r="O4" s="72"/>
      <c r="P4" s="71"/>
      <c r="Q4" s="71"/>
      <c r="R4" s="71"/>
      <c r="S4" s="71"/>
    </row>
    <row r="5" spans="1:26" ht="23.25" x14ac:dyDescent="0.35">
      <c r="A5" s="38"/>
      <c r="B5" s="70" t="s">
        <v>87</v>
      </c>
      <c r="C5" s="73">
        <f>B4/C4</f>
        <v>4.4245283460014679</v>
      </c>
      <c r="D5" s="73">
        <f>B4/D4</f>
        <v>20.391303960457666</v>
      </c>
      <c r="E5" s="73" t="e">
        <f>B4/E4</f>
        <v>#DIV/0!</v>
      </c>
      <c r="F5" s="73" t="e">
        <f>B4/F4</f>
        <v>#DIV/0!</v>
      </c>
      <c r="G5" s="74" t="e">
        <f>B4/G4</f>
        <v>#DIV/0!</v>
      </c>
      <c r="H5" s="74" t="e">
        <f>B4/H4</f>
        <v>#DIV/0!</v>
      </c>
      <c r="I5" s="74" t="e">
        <f>B4/I4</f>
        <v>#DIV/0!</v>
      </c>
      <c r="J5" s="75">
        <f>B4/J4</f>
        <v>938.00511225321054</v>
      </c>
      <c r="K5" s="75">
        <f>B4/K4</f>
        <v>938.00511225321054</v>
      </c>
      <c r="L5" s="75" t="e">
        <f>B4/L4</f>
        <v>#DIV/0!</v>
      </c>
      <c r="M5" s="75" t="e">
        <f>B4/M4</f>
        <v>#DIV/0!</v>
      </c>
      <c r="N5" s="75" t="e">
        <f>B4/N4</f>
        <v>#DIV/0!</v>
      </c>
      <c r="O5" s="75" t="e">
        <f>B4/O4</f>
        <v>#DIV/0!</v>
      </c>
      <c r="P5" s="71" t="e">
        <f>B4/P4</f>
        <v>#DIV/0!</v>
      </c>
      <c r="Q5" s="71"/>
      <c r="R5" s="71"/>
      <c r="S5" s="71"/>
    </row>
    <row r="6" spans="1:26" ht="23.25" x14ac:dyDescent="0.35">
      <c r="B6" s="71"/>
      <c r="C6" s="71">
        <f>599*B4/100/C5</f>
        <v>106.00000001730001</v>
      </c>
      <c r="D6" s="71">
        <f>599*B4/100/D5</f>
        <v>23.000000669999999</v>
      </c>
      <c r="E6" s="71" t="e">
        <f>599*B4/100/E5</f>
        <v>#DIV/0!</v>
      </c>
      <c r="F6" s="71" t="e">
        <f>599*B4/100/F5</f>
        <v>#DIV/0!</v>
      </c>
      <c r="G6" s="71" t="e">
        <f>599*B4/100/G5</f>
        <v>#DIV/0!</v>
      </c>
      <c r="H6" s="71" t="e">
        <f>599*B4/100/H5</f>
        <v>#DIV/0!</v>
      </c>
      <c r="I6" s="71" t="e">
        <f>599*B4/100/I5</f>
        <v>#DIV/0!</v>
      </c>
      <c r="J6" s="71">
        <f>599*B4/100/J5</f>
        <v>0.49999728000000004</v>
      </c>
      <c r="K6" s="71">
        <f>599*B4/100/K5</f>
        <v>0.49999728000000004</v>
      </c>
      <c r="L6" s="71" t="e">
        <f>599*B4/100/L5</f>
        <v>#DIV/0!</v>
      </c>
      <c r="M6" s="71" t="e">
        <f>599*B4/100/M5</f>
        <v>#DIV/0!</v>
      </c>
      <c r="N6" s="71" t="e">
        <f>599*B4/100/N5</f>
        <v>#DIV/0!</v>
      </c>
      <c r="O6" s="71" t="e">
        <f>599*B4/100/O5</f>
        <v>#DIV/0!</v>
      </c>
      <c r="P6" s="71" t="e">
        <f>599*N4/100/P5</f>
        <v>#DIV/0!</v>
      </c>
      <c r="Q6" s="71" t="e">
        <f>599*P4/100/Q5</f>
        <v>#DIV/0!</v>
      </c>
      <c r="R6" s="71"/>
      <c r="S6" s="71"/>
    </row>
    <row r="7" spans="1:26" ht="23.25" x14ac:dyDescent="0.35">
      <c r="A7" s="42"/>
      <c r="B7" s="71" t="s">
        <v>88</v>
      </c>
      <c r="C7" s="76">
        <f>C4+E4+F4</f>
        <v>17.69616027</v>
      </c>
      <c r="D7" s="77"/>
      <c r="E7" s="77" t="e">
        <f>C6+F6+E6</f>
        <v>#DIV/0!</v>
      </c>
      <c r="F7" s="77"/>
      <c r="G7" s="77">
        <v>104</v>
      </c>
      <c r="H7" s="77"/>
      <c r="I7" s="77"/>
      <c r="J7" s="77" t="e">
        <f>J6+O6</f>
        <v>#DIV/0!</v>
      </c>
      <c r="K7" s="77"/>
      <c r="L7" s="77"/>
      <c r="M7" s="77"/>
      <c r="N7" s="77"/>
      <c r="O7" s="77"/>
      <c r="P7" s="77"/>
      <c r="Q7" s="71"/>
      <c r="R7" s="71"/>
      <c r="S7" s="71"/>
    </row>
    <row r="8" spans="1:26" ht="23.25" x14ac:dyDescent="0.35">
      <c r="A8" s="45"/>
      <c r="B8" s="78" t="s">
        <v>89</v>
      </c>
      <c r="C8" s="79">
        <f>K4+M4</f>
        <v>8.3472000000000005E-2</v>
      </c>
      <c r="D8" s="71"/>
      <c r="E8" s="80" t="e">
        <f>K6+M6</f>
        <v>#DIV/0!</v>
      </c>
      <c r="F8" s="71"/>
      <c r="G8" s="71">
        <v>0.5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26" ht="23.25" x14ac:dyDescent="0.35">
      <c r="A9" s="42"/>
      <c r="B9" s="71" t="s">
        <v>13</v>
      </c>
      <c r="C9" s="71">
        <f>J4</f>
        <v>8.3472000000000005E-2</v>
      </c>
      <c r="D9" s="71"/>
      <c r="E9" s="71">
        <f>J6</f>
        <v>0.49999728000000004</v>
      </c>
      <c r="F9" s="71"/>
      <c r="G9" s="71">
        <v>0.5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26" ht="23.25" x14ac:dyDescent="0.35">
      <c r="B10" s="71" t="s">
        <v>15</v>
      </c>
      <c r="C10" s="89">
        <f>D4</f>
        <v>3.8397329999999998</v>
      </c>
      <c r="D10" s="89"/>
      <c r="E10" s="89">
        <f>D6</f>
        <v>23.000000669999999</v>
      </c>
      <c r="F10" s="89"/>
      <c r="G10" s="89">
        <v>23</v>
      </c>
      <c r="N10" s="71"/>
      <c r="O10" s="71"/>
      <c r="P10" s="71"/>
      <c r="Q10" s="71"/>
      <c r="R10" s="71"/>
      <c r="S10" s="71"/>
    </row>
    <row r="11" spans="1:26" ht="23.25" x14ac:dyDescent="0.35">
      <c r="C11" s="89"/>
      <c r="D11" s="89"/>
      <c r="E11" s="89" t="e">
        <f>E7+E8+E9+E10</f>
        <v>#DIV/0!</v>
      </c>
      <c r="F11" s="89"/>
      <c r="G11" s="89">
        <f>G7+G8+G9+G10</f>
        <v>128</v>
      </c>
      <c r="N11" s="71"/>
      <c r="O11" s="71"/>
      <c r="P11" s="71"/>
      <c r="Q11" s="71"/>
      <c r="R11" s="71"/>
      <c r="S11" s="71"/>
    </row>
    <row r="12" spans="1:26" ht="23.25" x14ac:dyDescent="0.35">
      <c r="N12" s="71"/>
      <c r="O12" s="71"/>
      <c r="P12" s="71"/>
      <c r="Q12" s="71"/>
      <c r="R12" s="71"/>
      <c r="S12" s="71"/>
    </row>
    <row r="13" spans="1:26" ht="23.25" x14ac:dyDescent="0.35">
      <c r="N13" s="71"/>
      <c r="O13" s="71"/>
      <c r="P13" s="71"/>
      <c r="Q13" s="71"/>
      <c r="R13" s="71"/>
      <c r="S13" s="71"/>
    </row>
    <row r="14" spans="1:26" ht="23.25" x14ac:dyDescent="0.35">
      <c r="N14" s="71"/>
      <c r="O14" s="71"/>
      <c r="P14" s="71"/>
      <c r="Q14" s="71"/>
      <c r="R14" s="71"/>
      <c r="S14" s="71"/>
    </row>
    <row r="15" spans="1:26" ht="23.25" x14ac:dyDescent="0.35">
      <c r="N15" s="71"/>
      <c r="O15" s="71"/>
      <c r="P15" s="71"/>
      <c r="Q15" s="71"/>
      <c r="R15" s="71"/>
      <c r="S15" s="71"/>
    </row>
    <row r="16" spans="1:26" ht="23.25" x14ac:dyDescent="0.35">
      <c r="A16" s="42"/>
      <c r="B16" s="71">
        <v>106</v>
      </c>
      <c r="C16" s="81">
        <f>B16*100/599</f>
        <v>17.696160267111853</v>
      </c>
      <c r="D16" s="71">
        <v>94.49</v>
      </c>
      <c r="E16" s="83"/>
      <c r="F16" s="71">
        <v>7</v>
      </c>
      <c r="G16" s="81">
        <f t="shared" ref="G16:G18" si="0">F16*100/599</f>
        <v>1.1686143572621035</v>
      </c>
      <c r="H16" s="71"/>
      <c r="I16" s="71" t="s">
        <v>72</v>
      </c>
      <c r="J16" s="84"/>
      <c r="K16" s="71" t="s">
        <v>73</v>
      </c>
      <c r="L16" s="71"/>
      <c r="M16" s="71"/>
      <c r="N16" s="71"/>
      <c r="O16" s="71"/>
      <c r="P16" s="71"/>
      <c r="Q16" s="71"/>
      <c r="R16" s="71"/>
      <c r="S16" s="71"/>
    </row>
    <row r="17" spans="1:19" ht="23.25" x14ac:dyDescent="0.35">
      <c r="A17" s="42"/>
      <c r="B17" s="71">
        <v>0.5</v>
      </c>
      <c r="C17" s="81">
        <f t="shared" ref="C17:C18" si="1">B17*100/599</f>
        <v>8.347245409015025E-2</v>
      </c>
      <c r="D17" s="71">
        <v>95.82</v>
      </c>
      <c r="E17" s="83"/>
      <c r="F17" s="71">
        <v>8</v>
      </c>
      <c r="G17" s="81">
        <f t="shared" si="0"/>
        <v>1.335559265442404</v>
      </c>
      <c r="H17" s="71"/>
      <c r="I17" s="85" t="s">
        <v>74</v>
      </c>
      <c r="J17" s="71"/>
      <c r="K17" s="86" t="s">
        <v>75</v>
      </c>
      <c r="L17" s="71"/>
      <c r="M17" s="77"/>
      <c r="N17" s="71"/>
      <c r="O17" s="71"/>
      <c r="P17" s="71"/>
      <c r="Q17" s="71"/>
      <c r="R17" s="71"/>
      <c r="S17" s="71"/>
    </row>
    <row r="18" spans="1:19" ht="23.25" x14ac:dyDescent="0.35">
      <c r="A18" s="42"/>
      <c r="B18" s="71">
        <v>23</v>
      </c>
      <c r="C18" s="81">
        <f t="shared" si="1"/>
        <v>3.8397328881469117</v>
      </c>
      <c r="D18" s="71">
        <v>89.48</v>
      </c>
      <c r="E18" s="83" t="s">
        <v>42</v>
      </c>
      <c r="F18" s="71">
        <v>9</v>
      </c>
      <c r="G18" s="81">
        <f t="shared" si="0"/>
        <v>1.5025041736227045</v>
      </c>
      <c r="H18" s="71"/>
      <c r="I18" s="71" t="s">
        <v>76</v>
      </c>
      <c r="J18" s="84"/>
      <c r="K18" s="71"/>
      <c r="L18" s="71"/>
      <c r="M18" s="71"/>
      <c r="N18" s="71"/>
      <c r="O18" s="71"/>
      <c r="P18" s="71"/>
      <c r="Q18" s="71"/>
      <c r="R18" s="71"/>
      <c r="S18" s="71"/>
    </row>
    <row r="19" spans="1:19" ht="23.25" x14ac:dyDescent="0.35">
      <c r="A19" s="29"/>
      <c r="B19" s="70"/>
      <c r="C19" s="71"/>
      <c r="D19" s="82"/>
      <c r="E19" s="71"/>
      <c r="F19" s="81"/>
      <c r="G19" s="71"/>
      <c r="H19" s="87"/>
      <c r="I19" s="78"/>
      <c r="J19" s="81"/>
      <c r="K19" s="75"/>
      <c r="L19" s="75"/>
      <c r="M19" s="75"/>
      <c r="N19" s="75"/>
      <c r="O19" s="75"/>
      <c r="P19" s="75"/>
      <c r="Q19" s="75"/>
      <c r="R19" s="71"/>
      <c r="S19" s="71"/>
    </row>
    <row r="20" spans="1:19" ht="23.25" x14ac:dyDescent="0.35">
      <c r="A20" s="2"/>
      <c r="B20" s="70"/>
      <c r="C20" s="70"/>
      <c r="D20" s="70"/>
      <c r="E20" s="88"/>
      <c r="F20" s="88"/>
      <c r="G20" s="70"/>
      <c r="H20" s="70"/>
      <c r="I20" s="70"/>
      <c r="J20" s="70"/>
      <c r="K20" s="70"/>
      <c r="L20" s="88"/>
      <c r="M20" s="70"/>
      <c r="N20" s="88"/>
      <c r="O20" s="70"/>
      <c r="P20" s="70"/>
      <c r="Q20" s="70"/>
      <c r="R20" s="71"/>
      <c r="S20" s="71"/>
    </row>
    <row r="21" spans="1:19" ht="23.25" x14ac:dyDescent="0.35">
      <c r="A21" s="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0"/>
      <c r="P21" s="70"/>
      <c r="Q21" s="70"/>
      <c r="R21" s="71"/>
      <c r="S21" s="71"/>
    </row>
    <row r="22" spans="1:19" ht="23.25" x14ac:dyDescent="0.35">
      <c r="A22" s="3"/>
      <c r="B22" s="73"/>
      <c r="C22" s="73"/>
      <c r="D22" s="73"/>
      <c r="E22" s="73"/>
      <c r="F22" s="74"/>
      <c r="G22" s="74"/>
      <c r="H22" s="74"/>
      <c r="I22" s="75"/>
      <c r="J22" s="75"/>
      <c r="K22" s="75"/>
      <c r="L22" s="75"/>
      <c r="M22" s="75"/>
      <c r="N22" s="75"/>
      <c r="O22" s="88"/>
      <c r="P22" s="70"/>
      <c r="Q22" s="70"/>
      <c r="R22" s="71"/>
      <c r="S22" s="71"/>
    </row>
    <row r="23" spans="1:19" ht="23.25" x14ac:dyDescent="0.35"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0"/>
      <c r="P23" s="70"/>
      <c r="Q23" s="70"/>
      <c r="R23" s="71"/>
      <c r="S23" s="71"/>
    </row>
    <row r="24" spans="1:19" ht="23.25" x14ac:dyDescent="0.35">
      <c r="B24" s="71" t="s">
        <v>6</v>
      </c>
      <c r="C24" s="71" t="s">
        <v>53</v>
      </c>
      <c r="D24" s="71" t="s">
        <v>52</v>
      </c>
      <c r="E24" s="71" t="s">
        <v>1</v>
      </c>
      <c r="F24" s="71" t="s">
        <v>47</v>
      </c>
      <c r="G24" s="71" t="s">
        <v>54</v>
      </c>
      <c r="H24" s="71" t="s">
        <v>4</v>
      </c>
      <c r="I24" s="71" t="s">
        <v>49</v>
      </c>
      <c r="J24" s="71" t="s">
        <v>2</v>
      </c>
      <c r="K24" s="71" t="s">
        <v>3</v>
      </c>
      <c r="L24" s="71" t="s">
        <v>48</v>
      </c>
      <c r="M24" s="71" t="s">
        <v>85</v>
      </c>
      <c r="N24" s="71" t="s">
        <v>5</v>
      </c>
      <c r="O24" s="71" t="s">
        <v>86</v>
      </c>
      <c r="P24" s="71"/>
      <c r="Q24" s="71"/>
      <c r="R24" s="71"/>
      <c r="S24" s="71"/>
    </row>
    <row r="25" spans="1:19" ht="23.25" x14ac:dyDescent="0.35">
      <c r="B25" s="71">
        <v>93.774999999999991</v>
      </c>
      <c r="C25" s="71"/>
      <c r="D25" s="71"/>
      <c r="E25" s="71"/>
      <c r="F25" s="71">
        <v>2.5000000000000001E-2</v>
      </c>
      <c r="G25" s="71">
        <v>3.85</v>
      </c>
      <c r="H25" s="71">
        <v>2.2000000000000002</v>
      </c>
      <c r="I25" s="71"/>
      <c r="J25" s="71">
        <v>0.01</v>
      </c>
      <c r="K25" s="71">
        <v>2.5000000000000001E-2</v>
      </c>
      <c r="L25" s="71">
        <v>7.0000000000000007E-2</v>
      </c>
      <c r="M25" s="71"/>
      <c r="N25" s="71">
        <v>4.4999999999999998E-2</v>
      </c>
      <c r="O25" s="71"/>
      <c r="P25" s="71"/>
      <c r="Q25" s="71"/>
      <c r="R25" s="71"/>
      <c r="S25" s="71"/>
    </row>
    <row r="26" spans="1:19" ht="23.25" x14ac:dyDescent="0.35">
      <c r="B26" s="71">
        <v>80.644157300439971</v>
      </c>
      <c r="C26" s="71">
        <v>0</v>
      </c>
      <c r="D26" s="71">
        <v>0</v>
      </c>
      <c r="E26" s="71">
        <v>0</v>
      </c>
      <c r="F26" s="71">
        <v>1.8894005743496499E-2</v>
      </c>
      <c r="G26" s="71">
        <v>15.393910844382363</v>
      </c>
      <c r="H26" s="71">
        <v>3.7616596401949636</v>
      </c>
      <c r="I26" s="71">
        <v>0</v>
      </c>
      <c r="J26" s="71">
        <v>8.1817260998195175E-3</v>
      </c>
      <c r="K26" s="71">
        <v>2.3091462299322321E-2</v>
      </c>
      <c r="L26" s="71">
        <v>6.1195527941688498E-2</v>
      </c>
      <c r="M26" s="71">
        <v>0</v>
      </c>
      <c r="N26" s="71">
        <v>8.8909492898382264E-2</v>
      </c>
      <c r="O26" s="71">
        <v>0</v>
      </c>
      <c r="P26" s="71"/>
      <c r="Q26" s="71"/>
      <c r="R26" s="71"/>
      <c r="S26" s="71"/>
    </row>
    <row r="27" spans="1:19" ht="23.25" x14ac:dyDescent="0.35"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</row>
    <row r="28" spans="1:19" ht="23.25" x14ac:dyDescent="0.35"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</row>
    <row r="29" spans="1:19" ht="23.25" x14ac:dyDescent="0.35"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</row>
  </sheetData>
  <pageMargins left="0.7" right="0.7" top="0.78740157499999996" bottom="0.78740157499999996" header="0.3" footer="0.3"/>
  <pageSetup paperSize="9" orientation="portrait" verticalDpi="597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B8968-D740-45BE-9CE6-C7101E6731BC}">
  <dimension ref="A1:Z29"/>
  <sheetViews>
    <sheetView workbookViewId="0">
      <selection activeCell="C4" sqref="C4:S4"/>
    </sheetView>
  </sheetViews>
  <sheetFormatPr baseColWidth="10" defaultRowHeight="15" x14ac:dyDescent="0.25"/>
  <cols>
    <col min="2" max="2" width="17.28515625" customWidth="1"/>
    <col min="3" max="3" width="23.140625" customWidth="1"/>
    <col min="4" max="4" width="11.5703125" bestFit="1" customWidth="1"/>
    <col min="5" max="5" width="13" bestFit="1" customWidth="1"/>
    <col min="6" max="8" width="11.5703125" bestFit="1" customWidth="1"/>
    <col min="9" max="9" width="13.5703125" customWidth="1"/>
    <col min="10" max="11" width="11.5703125" bestFit="1" customWidth="1"/>
    <col min="12" max="13" width="20.28515625" bestFit="1" customWidth="1"/>
    <col min="14" max="14" width="11.5703125" bestFit="1" customWidth="1"/>
    <col min="15" max="15" width="20.28515625" bestFit="1" customWidth="1"/>
    <col min="16" max="17" width="12.140625" bestFit="1" customWidth="1"/>
  </cols>
  <sheetData>
    <row r="1" spans="1:26" ht="18" x14ac:dyDescent="0.25">
      <c r="A1" s="34"/>
      <c r="B1" s="38"/>
      <c r="C1" s="3"/>
      <c r="D1" s="3"/>
      <c r="E1" s="39"/>
      <c r="F1" s="1"/>
      <c r="G1" s="40"/>
      <c r="H1" s="3"/>
      <c r="I1" s="3"/>
      <c r="J1" s="12"/>
      <c r="K1" s="39"/>
      <c r="L1" s="3"/>
      <c r="M1" s="3"/>
      <c r="N1" s="3"/>
      <c r="O1" s="3"/>
    </row>
    <row r="2" spans="1:26" ht="15.75" x14ac:dyDescent="0.25">
      <c r="B2" s="3">
        <f>C2+D2+E2+F2+G2+H2+I2+J2+K2+L2+M2+N2+O2</f>
        <v>22.036727079999999</v>
      </c>
      <c r="C2" s="64">
        <f>C4+D4+E4+F4+G4+H4+I4</f>
        <v>21.869783079999998</v>
      </c>
      <c r="D2" s="64"/>
      <c r="E2" s="3"/>
      <c r="F2" s="3"/>
      <c r="G2" s="3"/>
      <c r="H2" s="26"/>
      <c r="I2" s="3"/>
      <c r="J2" s="26">
        <f>J4</f>
        <v>8.3472000000000005E-2</v>
      </c>
      <c r="K2" s="4">
        <f>K4+L4+M4+N4+O4</f>
        <v>8.3472000000000005E-2</v>
      </c>
      <c r="L2" s="64"/>
      <c r="M2" s="4"/>
      <c r="N2" s="65"/>
      <c r="O2" s="26"/>
      <c r="P2" s="4"/>
    </row>
    <row r="3" spans="1:26" ht="26.25" x14ac:dyDescent="0.4">
      <c r="A3" s="38"/>
      <c r="B3" s="70" t="s">
        <v>14</v>
      </c>
      <c r="C3" s="70" t="s">
        <v>56</v>
      </c>
      <c r="D3" s="70" t="s">
        <v>15</v>
      </c>
      <c r="E3" s="70" t="s">
        <v>8</v>
      </c>
      <c r="F3" s="70" t="s">
        <v>9</v>
      </c>
      <c r="G3" s="70" t="s">
        <v>57</v>
      </c>
      <c r="H3" s="70" t="s">
        <v>58</v>
      </c>
      <c r="I3" s="70" t="s">
        <v>77</v>
      </c>
      <c r="J3" s="70" t="s">
        <v>13</v>
      </c>
      <c r="K3" s="70" t="s">
        <v>16</v>
      </c>
      <c r="L3" s="70" t="s">
        <v>55</v>
      </c>
      <c r="M3" s="70" t="s">
        <v>44</v>
      </c>
      <c r="N3" s="70" t="s">
        <v>10</v>
      </c>
      <c r="O3" s="70" t="s">
        <v>12</v>
      </c>
      <c r="P3" s="71" t="s">
        <v>80</v>
      </c>
      <c r="Q3" s="71" t="s">
        <v>81</v>
      </c>
      <c r="R3" s="71" t="s">
        <v>82</v>
      </c>
      <c r="S3" s="71" t="s">
        <v>83</v>
      </c>
      <c r="T3" s="33" t="s">
        <v>45</v>
      </c>
      <c r="U3" s="33" t="s">
        <v>17</v>
      </c>
      <c r="V3" s="33" t="s">
        <v>84</v>
      </c>
      <c r="W3" s="33" t="s">
        <v>0</v>
      </c>
      <c r="X3" s="33" t="s">
        <v>11</v>
      </c>
      <c r="Y3" s="33" t="s">
        <v>10</v>
      </c>
      <c r="Z3" s="33" t="s">
        <v>46</v>
      </c>
    </row>
    <row r="4" spans="1:26" ht="23.25" x14ac:dyDescent="0.35">
      <c r="A4" s="38"/>
      <c r="B4" s="70">
        <f>100-C4-D4-E4-F4-G4-H4-I4-J4-K4-L4-M4-N4-O4</f>
        <v>77.963272920000009</v>
      </c>
      <c r="C4" s="71">
        <v>18.030050079999999</v>
      </c>
      <c r="D4" s="71">
        <v>3.8397329999999998</v>
      </c>
      <c r="E4" s="71"/>
      <c r="F4" s="71"/>
      <c r="G4" s="72"/>
      <c r="H4" s="72"/>
      <c r="I4" s="72"/>
      <c r="J4" s="71">
        <v>8.3472000000000005E-2</v>
      </c>
      <c r="K4" s="71">
        <v>8.3472000000000005E-2</v>
      </c>
      <c r="L4" s="72"/>
      <c r="M4" s="71"/>
      <c r="N4" s="72"/>
      <c r="O4" s="72"/>
      <c r="P4" s="71"/>
      <c r="Q4" s="71"/>
      <c r="R4" s="71"/>
      <c r="S4" s="71"/>
    </row>
    <row r="5" spans="1:26" ht="23.25" x14ac:dyDescent="0.35">
      <c r="A5" s="38"/>
      <c r="B5" s="70" t="s">
        <v>87</v>
      </c>
      <c r="C5" s="73">
        <f>B4/C4</f>
        <v>4.3240741192661192</v>
      </c>
      <c r="D5" s="73">
        <f>B4/D4</f>
        <v>20.304347442908142</v>
      </c>
      <c r="E5" s="73" t="e">
        <f>B4/E4</f>
        <v>#DIV/0!</v>
      </c>
      <c r="F5" s="73" t="e">
        <f>B4/F4</f>
        <v>#DIV/0!</v>
      </c>
      <c r="G5" s="74" t="e">
        <f>B4/G4</f>
        <v>#DIV/0!</v>
      </c>
      <c r="H5" s="74" t="e">
        <f>B4/H4</f>
        <v>#DIV/0!</v>
      </c>
      <c r="I5" s="74" t="e">
        <f>B4/I4</f>
        <v>#DIV/0!</v>
      </c>
      <c r="J5" s="75">
        <f>B4/J4</f>
        <v>934.00509056929275</v>
      </c>
      <c r="K5" s="75">
        <f>B4/K4</f>
        <v>934.00509056929275</v>
      </c>
      <c r="L5" s="75" t="e">
        <f>B4/L4</f>
        <v>#DIV/0!</v>
      </c>
      <c r="M5" s="75" t="e">
        <f>B4/M4</f>
        <v>#DIV/0!</v>
      </c>
      <c r="N5" s="75" t="e">
        <f>B4/N4</f>
        <v>#DIV/0!</v>
      </c>
      <c r="O5" s="75" t="e">
        <f>B4/O4</f>
        <v>#DIV/0!</v>
      </c>
      <c r="P5" s="71" t="e">
        <f>B4/P4</f>
        <v>#DIV/0!</v>
      </c>
      <c r="Q5" s="71"/>
      <c r="R5" s="71"/>
      <c r="S5" s="71"/>
    </row>
    <row r="6" spans="1:26" ht="23.25" x14ac:dyDescent="0.35">
      <c r="B6" s="71"/>
      <c r="C6" s="71">
        <f>599*B4/100/C5</f>
        <v>107.99999997919998</v>
      </c>
      <c r="D6" s="71">
        <f>599*B4/100/D5</f>
        <v>23.000000670000002</v>
      </c>
      <c r="E6" s="71" t="e">
        <f>599*B4/100/E5</f>
        <v>#DIV/0!</v>
      </c>
      <c r="F6" s="71" t="e">
        <f>599*B4/100/F5</f>
        <v>#DIV/0!</v>
      </c>
      <c r="G6" s="71" t="e">
        <f>599*B4/100/G5</f>
        <v>#DIV/0!</v>
      </c>
      <c r="H6" s="71" t="e">
        <f>599*B4/100/H5</f>
        <v>#DIV/0!</v>
      </c>
      <c r="I6" s="71" t="e">
        <f>599*B4/100/I5</f>
        <v>#DIV/0!</v>
      </c>
      <c r="J6" s="71">
        <f>599*B4/100/J5</f>
        <v>0.49999728000000004</v>
      </c>
      <c r="K6" s="71">
        <f>599*B4/100/K5</f>
        <v>0.49999728000000004</v>
      </c>
      <c r="L6" s="71" t="e">
        <f>599*B4/100/L5</f>
        <v>#DIV/0!</v>
      </c>
      <c r="M6" s="71" t="e">
        <f>599*B4/100/M5</f>
        <v>#DIV/0!</v>
      </c>
      <c r="N6" s="71" t="e">
        <f>599*B4/100/N5</f>
        <v>#DIV/0!</v>
      </c>
      <c r="O6" s="71" t="e">
        <f>599*B4/100/O5</f>
        <v>#DIV/0!</v>
      </c>
      <c r="P6" s="71" t="e">
        <f>599*N4/100/P5</f>
        <v>#DIV/0!</v>
      </c>
      <c r="Q6" s="71" t="e">
        <f>599*P4/100/Q5</f>
        <v>#DIV/0!</v>
      </c>
      <c r="R6" s="71"/>
      <c r="S6" s="71"/>
    </row>
    <row r="7" spans="1:26" ht="23.25" x14ac:dyDescent="0.35">
      <c r="A7" s="42"/>
      <c r="B7" s="71" t="s">
        <v>88</v>
      </c>
      <c r="C7" s="76">
        <f>C4+E4+F4</f>
        <v>18.030050079999999</v>
      </c>
      <c r="D7" s="77"/>
      <c r="E7" s="77" t="e">
        <f>C6+F6+E6</f>
        <v>#DIV/0!</v>
      </c>
      <c r="F7" s="77"/>
      <c r="G7" s="77">
        <v>104</v>
      </c>
      <c r="H7" s="77"/>
      <c r="I7" s="77"/>
      <c r="J7" s="77" t="e">
        <f>J6+O6</f>
        <v>#DIV/0!</v>
      </c>
      <c r="K7" s="77"/>
      <c r="L7" s="77"/>
      <c r="M7" s="77"/>
      <c r="N7" s="77"/>
      <c r="O7" s="77"/>
      <c r="P7" s="77"/>
      <c r="Q7" s="71"/>
      <c r="R7" s="71"/>
      <c r="S7" s="71"/>
    </row>
    <row r="8" spans="1:26" ht="23.25" x14ac:dyDescent="0.35">
      <c r="A8" s="45"/>
      <c r="B8" s="78" t="s">
        <v>89</v>
      </c>
      <c r="C8" s="79">
        <f>K4+M4</f>
        <v>8.3472000000000005E-2</v>
      </c>
      <c r="D8" s="71"/>
      <c r="E8" s="80" t="e">
        <f>K6+M6</f>
        <v>#DIV/0!</v>
      </c>
      <c r="F8" s="71"/>
      <c r="G8" s="71">
        <v>0.5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26" ht="23.25" x14ac:dyDescent="0.35">
      <c r="A9" s="42"/>
      <c r="B9" s="71" t="s">
        <v>13</v>
      </c>
      <c r="C9" s="71">
        <f>J4</f>
        <v>8.3472000000000005E-2</v>
      </c>
      <c r="D9" s="71"/>
      <c r="E9" s="71">
        <f>J6</f>
        <v>0.49999728000000004</v>
      </c>
      <c r="F9" s="71"/>
      <c r="G9" s="71">
        <v>0.5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26" ht="23.25" x14ac:dyDescent="0.35">
      <c r="B10" s="71" t="s">
        <v>15</v>
      </c>
      <c r="C10" s="89">
        <f>D4</f>
        <v>3.8397329999999998</v>
      </c>
      <c r="D10" s="89"/>
      <c r="E10" s="89">
        <f>D6</f>
        <v>23.000000670000002</v>
      </c>
      <c r="F10" s="89"/>
      <c r="G10" s="89">
        <v>23</v>
      </c>
      <c r="N10" s="71"/>
      <c r="O10" s="71"/>
      <c r="P10" s="71"/>
      <c r="Q10" s="71"/>
      <c r="R10" s="71"/>
      <c r="S10" s="71"/>
    </row>
    <row r="11" spans="1:26" ht="23.25" x14ac:dyDescent="0.35">
      <c r="C11" s="89"/>
      <c r="D11" s="89"/>
      <c r="E11" s="89" t="e">
        <f>E7+E8+E9+E10</f>
        <v>#DIV/0!</v>
      </c>
      <c r="F11" s="89"/>
      <c r="G11" s="89">
        <f>G7+G8+G9+G10</f>
        <v>128</v>
      </c>
      <c r="N11" s="71"/>
      <c r="O11" s="71"/>
      <c r="P11" s="71"/>
      <c r="Q11" s="71"/>
      <c r="R11" s="71"/>
      <c r="S11" s="71"/>
    </row>
    <row r="12" spans="1:26" ht="23.25" x14ac:dyDescent="0.35">
      <c r="N12" s="71"/>
      <c r="O12" s="71"/>
      <c r="P12" s="71"/>
      <c r="Q12" s="71"/>
      <c r="R12" s="71"/>
      <c r="S12" s="71"/>
    </row>
    <row r="13" spans="1:26" ht="23.25" x14ac:dyDescent="0.35">
      <c r="N13" s="71"/>
      <c r="O13" s="71"/>
      <c r="P13" s="71"/>
      <c r="Q13" s="71"/>
      <c r="R13" s="71"/>
      <c r="S13" s="71"/>
    </row>
    <row r="14" spans="1:26" ht="23.25" x14ac:dyDescent="0.35">
      <c r="N14" s="71"/>
      <c r="O14" s="71"/>
      <c r="P14" s="71"/>
      <c r="Q14" s="71"/>
      <c r="R14" s="71"/>
      <c r="S14" s="71"/>
    </row>
    <row r="15" spans="1:26" ht="23.25" x14ac:dyDescent="0.35">
      <c r="N15" s="71"/>
      <c r="O15" s="71"/>
      <c r="P15" s="71"/>
      <c r="Q15" s="71"/>
      <c r="R15" s="71"/>
      <c r="S15" s="71"/>
    </row>
    <row r="16" spans="1:26" ht="23.25" x14ac:dyDescent="0.35">
      <c r="A16" s="42"/>
      <c r="B16" s="71">
        <v>108</v>
      </c>
      <c r="C16" s="81">
        <f>B16*100/599</f>
        <v>18.030050083472453</v>
      </c>
      <c r="D16" s="71">
        <v>94.49</v>
      </c>
      <c r="E16" s="83"/>
      <c r="F16" s="71">
        <v>7</v>
      </c>
      <c r="G16" s="81">
        <f t="shared" ref="G16:G18" si="0">F16*100/599</f>
        <v>1.1686143572621035</v>
      </c>
      <c r="H16" s="71"/>
      <c r="I16" s="71" t="s">
        <v>72</v>
      </c>
      <c r="J16" s="84"/>
      <c r="K16" s="71" t="s">
        <v>73</v>
      </c>
      <c r="L16" s="71"/>
      <c r="M16" s="71"/>
      <c r="N16" s="71"/>
      <c r="O16" s="71"/>
      <c r="P16" s="71"/>
      <c r="Q16" s="71"/>
      <c r="R16" s="71"/>
      <c r="S16" s="71"/>
    </row>
    <row r="17" spans="1:19" ht="23.25" x14ac:dyDescent="0.35">
      <c r="A17" s="42"/>
      <c r="B17" s="71">
        <v>0.5</v>
      </c>
      <c r="C17" s="81">
        <f t="shared" ref="C17:C18" si="1">B17*100/599</f>
        <v>8.347245409015025E-2</v>
      </c>
      <c r="D17" s="71">
        <v>95.82</v>
      </c>
      <c r="E17" s="83"/>
      <c r="F17" s="71">
        <v>8</v>
      </c>
      <c r="G17" s="81">
        <f t="shared" si="0"/>
        <v>1.335559265442404</v>
      </c>
      <c r="H17" s="71"/>
      <c r="I17" s="85" t="s">
        <v>74</v>
      </c>
      <c r="J17" s="71"/>
      <c r="K17" s="86" t="s">
        <v>75</v>
      </c>
      <c r="L17" s="71"/>
      <c r="M17" s="77"/>
      <c r="N17" s="71"/>
      <c r="O17" s="71"/>
      <c r="P17" s="71"/>
      <c r="Q17" s="71"/>
      <c r="R17" s="71"/>
      <c r="S17" s="71"/>
    </row>
    <row r="18" spans="1:19" ht="23.25" x14ac:dyDescent="0.35">
      <c r="A18" s="42"/>
      <c r="B18" s="71">
        <v>23</v>
      </c>
      <c r="C18" s="81">
        <f t="shared" si="1"/>
        <v>3.8397328881469117</v>
      </c>
      <c r="D18" s="71">
        <v>89.48</v>
      </c>
      <c r="E18" s="83" t="s">
        <v>42</v>
      </c>
      <c r="F18" s="71">
        <v>9</v>
      </c>
      <c r="G18" s="81">
        <f t="shared" si="0"/>
        <v>1.5025041736227045</v>
      </c>
      <c r="H18" s="71"/>
      <c r="I18" s="71" t="s">
        <v>76</v>
      </c>
      <c r="J18" s="84"/>
      <c r="K18" s="71"/>
      <c r="L18" s="71"/>
      <c r="M18" s="71"/>
      <c r="N18" s="71"/>
      <c r="O18" s="71"/>
      <c r="P18" s="71"/>
      <c r="Q18" s="71"/>
      <c r="R18" s="71"/>
      <c r="S18" s="71"/>
    </row>
    <row r="19" spans="1:19" ht="23.25" x14ac:dyDescent="0.35">
      <c r="A19" s="29"/>
      <c r="B19" s="70"/>
      <c r="C19" s="71"/>
      <c r="D19" s="82"/>
      <c r="E19" s="71"/>
      <c r="F19" s="81"/>
      <c r="G19" s="71"/>
      <c r="H19" s="87"/>
      <c r="I19" s="78"/>
      <c r="J19" s="81"/>
      <c r="K19" s="75"/>
      <c r="L19" s="75"/>
      <c r="M19" s="75"/>
      <c r="N19" s="75"/>
      <c r="O19" s="75"/>
      <c r="P19" s="75"/>
      <c r="Q19" s="75"/>
      <c r="R19" s="71"/>
      <c r="S19" s="71"/>
    </row>
    <row r="20" spans="1:19" ht="23.25" x14ac:dyDescent="0.35">
      <c r="A20" s="2"/>
      <c r="B20" s="70"/>
      <c r="C20" s="70"/>
      <c r="D20" s="70"/>
      <c r="E20" s="88"/>
      <c r="F20" s="88"/>
      <c r="G20" s="70"/>
      <c r="H20" s="70"/>
      <c r="I20" s="70"/>
      <c r="J20" s="70"/>
      <c r="K20" s="70"/>
      <c r="L20" s="88"/>
      <c r="M20" s="70"/>
      <c r="N20" s="88"/>
      <c r="O20" s="70"/>
      <c r="P20" s="70"/>
      <c r="Q20" s="70"/>
      <c r="R20" s="71"/>
      <c r="S20" s="71"/>
    </row>
    <row r="21" spans="1:19" ht="23.25" x14ac:dyDescent="0.35">
      <c r="A21" s="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0"/>
      <c r="P21" s="70"/>
      <c r="Q21" s="70"/>
      <c r="R21" s="71"/>
      <c r="S21" s="71"/>
    </row>
    <row r="22" spans="1:19" ht="23.25" x14ac:dyDescent="0.35">
      <c r="A22" s="3"/>
      <c r="B22" s="73"/>
      <c r="C22" s="73"/>
      <c r="D22" s="73"/>
      <c r="E22" s="73"/>
      <c r="F22" s="74"/>
      <c r="G22" s="74"/>
      <c r="H22" s="74"/>
      <c r="I22" s="75"/>
      <c r="J22" s="75"/>
      <c r="K22" s="75"/>
      <c r="L22" s="75"/>
      <c r="M22" s="75"/>
      <c r="N22" s="75"/>
      <c r="O22" s="88"/>
      <c r="P22" s="70"/>
      <c r="Q22" s="70"/>
      <c r="R22" s="71"/>
      <c r="S22" s="71"/>
    </row>
    <row r="23" spans="1:19" ht="23.25" x14ac:dyDescent="0.35"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0"/>
      <c r="P23" s="70"/>
      <c r="Q23" s="70"/>
      <c r="R23" s="71"/>
      <c r="S23" s="71"/>
    </row>
    <row r="24" spans="1:19" ht="23.25" x14ac:dyDescent="0.35">
      <c r="B24" s="71" t="s">
        <v>6</v>
      </c>
      <c r="C24" s="71" t="s">
        <v>53</v>
      </c>
      <c r="D24" s="71" t="s">
        <v>52</v>
      </c>
      <c r="E24" s="71" t="s">
        <v>1</v>
      </c>
      <c r="F24" s="71" t="s">
        <v>47</v>
      </c>
      <c r="G24" s="71" t="s">
        <v>54</v>
      </c>
      <c r="H24" s="71" t="s">
        <v>4</v>
      </c>
      <c r="I24" s="71" t="s">
        <v>49</v>
      </c>
      <c r="J24" s="71" t="s">
        <v>2</v>
      </c>
      <c r="K24" s="71" t="s">
        <v>3</v>
      </c>
      <c r="L24" s="71" t="s">
        <v>48</v>
      </c>
      <c r="M24" s="71" t="s">
        <v>85</v>
      </c>
      <c r="N24" s="71" t="s">
        <v>5</v>
      </c>
      <c r="O24" s="71" t="s">
        <v>86</v>
      </c>
      <c r="P24" s="71"/>
      <c r="Q24" s="71"/>
      <c r="R24" s="71"/>
      <c r="S24" s="71"/>
    </row>
    <row r="25" spans="1:19" ht="23.25" x14ac:dyDescent="0.35">
      <c r="B25" s="71">
        <v>93.774999999999991</v>
      </c>
      <c r="C25" s="71"/>
      <c r="D25" s="71"/>
      <c r="E25" s="71"/>
      <c r="F25" s="71">
        <v>2.5000000000000001E-2</v>
      </c>
      <c r="G25" s="71">
        <v>3.85</v>
      </c>
      <c r="H25" s="71">
        <v>2.2000000000000002</v>
      </c>
      <c r="I25" s="71"/>
      <c r="J25" s="71">
        <v>0.01</v>
      </c>
      <c r="K25" s="71">
        <v>2.5000000000000001E-2</v>
      </c>
      <c r="L25" s="71">
        <v>7.0000000000000007E-2</v>
      </c>
      <c r="M25" s="71"/>
      <c r="N25" s="71">
        <v>4.4999999999999998E-2</v>
      </c>
      <c r="O25" s="71"/>
      <c r="P25" s="71"/>
      <c r="Q25" s="71"/>
      <c r="R25" s="71"/>
      <c r="S25" s="71"/>
    </row>
    <row r="26" spans="1:19" ht="23.25" x14ac:dyDescent="0.35">
      <c r="B26" s="71">
        <v>80.644157300439971</v>
      </c>
      <c r="C26" s="71">
        <v>0</v>
      </c>
      <c r="D26" s="71">
        <v>0</v>
      </c>
      <c r="E26" s="71">
        <v>0</v>
      </c>
      <c r="F26" s="71">
        <v>1.8894005743496499E-2</v>
      </c>
      <c r="G26" s="71">
        <v>15.393910844382363</v>
      </c>
      <c r="H26" s="71">
        <v>3.7616596401949636</v>
      </c>
      <c r="I26" s="71">
        <v>0</v>
      </c>
      <c r="J26" s="71">
        <v>8.1817260998195175E-3</v>
      </c>
      <c r="K26" s="71">
        <v>2.3091462299322321E-2</v>
      </c>
      <c r="L26" s="71">
        <v>6.1195527941688498E-2</v>
      </c>
      <c r="M26" s="71">
        <v>0</v>
      </c>
      <c r="N26" s="71">
        <v>8.8909492898382264E-2</v>
      </c>
      <c r="O26" s="71">
        <v>0</v>
      </c>
      <c r="P26" s="71"/>
      <c r="Q26" s="71"/>
      <c r="R26" s="71"/>
      <c r="S26" s="71"/>
    </row>
    <row r="27" spans="1:19" ht="23.25" x14ac:dyDescent="0.35"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</row>
    <row r="28" spans="1:19" ht="23.25" x14ac:dyDescent="0.35"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</row>
    <row r="29" spans="1:19" ht="23.25" x14ac:dyDescent="0.35"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</row>
  </sheetData>
  <pageMargins left="0.7" right="0.7" top="0.78740157499999996" bottom="0.78740157499999996" header="0.3" footer="0.3"/>
  <pageSetup paperSize="9" orientation="portrait" verticalDpi="597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F05A-0BF1-4EAD-974D-1625AE1C4C03}">
  <dimension ref="A1:Z29"/>
  <sheetViews>
    <sheetView workbookViewId="0">
      <selection activeCell="C4" sqref="C4:S4"/>
    </sheetView>
  </sheetViews>
  <sheetFormatPr baseColWidth="10" defaultRowHeight="15" x14ac:dyDescent="0.25"/>
  <cols>
    <col min="2" max="2" width="17.28515625" customWidth="1"/>
    <col min="3" max="3" width="23.140625" customWidth="1"/>
    <col min="4" max="4" width="11.5703125" bestFit="1" customWidth="1"/>
    <col min="5" max="5" width="13" bestFit="1" customWidth="1"/>
    <col min="6" max="8" width="11.5703125" bestFit="1" customWidth="1"/>
    <col min="9" max="9" width="13.5703125" customWidth="1"/>
    <col min="10" max="11" width="11.5703125" bestFit="1" customWidth="1"/>
    <col min="12" max="13" width="20.28515625" bestFit="1" customWidth="1"/>
    <col min="14" max="14" width="11.5703125" bestFit="1" customWidth="1"/>
    <col min="15" max="15" width="20.28515625" bestFit="1" customWidth="1"/>
    <col min="16" max="17" width="12.140625" bestFit="1" customWidth="1"/>
  </cols>
  <sheetData>
    <row r="1" spans="1:26" ht="18" x14ac:dyDescent="0.25">
      <c r="A1" s="34"/>
      <c r="B1" s="38"/>
      <c r="C1" s="3"/>
      <c r="D1" s="3"/>
      <c r="E1" s="39"/>
      <c r="F1" s="1"/>
      <c r="G1" s="40"/>
      <c r="H1" s="3"/>
      <c r="I1" s="3"/>
      <c r="J1" s="12"/>
      <c r="K1" s="39"/>
      <c r="L1" s="3"/>
      <c r="M1" s="3"/>
      <c r="N1" s="3"/>
      <c r="O1" s="3"/>
    </row>
    <row r="2" spans="1:26" ht="15.75" x14ac:dyDescent="0.25">
      <c r="B2" s="3">
        <f>C2+D2+E2+F2+G2+H2+I2+J2+K2+L2+M2+N2+O2</f>
        <v>22.370616899999998</v>
      </c>
      <c r="C2" s="64">
        <f>C4+D4+E4+F4+G4+H4+I4</f>
        <v>22.203672899999997</v>
      </c>
      <c r="D2" s="64"/>
      <c r="E2" s="3"/>
      <c r="F2" s="3"/>
      <c r="G2" s="3"/>
      <c r="H2" s="26"/>
      <c r="I2" s="3"/>
      <c r="J2" s="26">
        <f>J4</f>
        <v>8.3472000000000005E-2</v>
      </c>
      <c r="K2" s="4">
        <f>K4+L4+M4+N4+O4</f>
        <v>8.3472000000000005E-2</v>
      </c>
      <c r="L2" s="64"/>
      <c r="M2" s="4"/>
      <c r="N2" s="65"/>
      <c r="O2" s="26"/>
      <c r="P2" s="4"/>
    </row>
    <row r="3" spans="1:26" ht="26.25" x14ac:dyDescent="0.4">
      <c r="A3" s="38"/>
      <c r="B3" s="70" t="s">
        <v>14</v>
      </c>
      <c r="C3" s="70" t="s">
        <v>56</v>
      </c>
      <c r="D3" s="70" t="s">
        <v>15</v>
      </c>
      <c r="E3" s="70" t="s">
        <v>8</v>
      </c>
      <c r="F3" s="70" t="s">
        <v>9</v>
      </c>
      <c r="G3" s="70" t="s">
        <v>57</v>
      </c>
      <c r="H3" s="70" t="s">
        <v>58</v>
      </c>
      <c r="I3" s="70" t="s">
        <v>77</v>
      </c>
      <c r="J3" s="70" t="s">
        <v>13</v>
      </c>
      <c r="K3" s="70" t="s">
        <v>16</v>
      </c>
      <c r="L3" s="70" t="s">
        <v>55</v>
      </c>
      <c r="M3" s="70" t="s">
        <v>44</v>
      </c>
      <c r="N3" s="70" t="s">
        <v>10</v>
      </c>
      <c r="O3" s="70" t="s">
        <v>12</v>
      </c>
      <c r="P3" s="71" t="s">
        <v>80</v>
      </c>
      <c r="Q3" s="71" t="s">
        <v>81</v>
      </c>
      <c r="R3" s="71" t="s">
        <v>82</v>
      </c>
      <c r="S3" s="71" t="s">
        <v>83</v>
      </c>
      <c r="T3" s="33" t="s">
        <v>45</v>
      </c>
      <c r="U3" s="33" t="s">
        <v>17</v>
      </c>
      <c r="V3" s="33" t="s">
        <v>84</v>
      </c>
      <c r="W3" s="33" t="s">
        <v>0</v>
      </c>
      <c r="X3" s="33" t="s">
        <v>11</v>
      </c>
      <c r="Y3" s="33" t="s">
        <v>10</v>
      </c>
      <c r="Z3" s="33" t="s">
        <v>46</v>
      </c>
    </row>
    <row r="4" spans="1:26" ht="23.25" x14ac:dyDescent="0.35">
      <c r="A4" s="38"/>
      <c r="B4" s="70">
        <f>100-C4-D4-E4-F4-G4-H4-I4-J4-K4-L4-M4-N4-O4</f>
        <v>77.629383100000013</v>
      </c>
      <c r="C4" s="71">
        <v>18.363939899999998</v>
      </c>
      <c r="D4" s="71">
        <v>3.8397329999999998</v>
      </c>
      <c r="E4" s="71"/>
      <c r="F4" s="71"/>
      <c r="G4" s="72"/>
      <c r="H4" s="72"/>
      <c r="I4" s="72"/>
      <c r="J4" s="71">
        <v>8.3472000000000005E-2</v>
      </c>
      <c r="K4" s="71">
        <v>8.3472000000000005E-2</v>
      </c>
      <c r="L4" s="72"/>
      <c r="M4" s="71"/>
      <c r="N4" s="72"/>
      <c r="O4" s="72"/>
      <c r="P4" s="71"/>
      <c r="Q4" s="71"/>
      <c r="R4" s="71"/>
      <c r="S4" s="71"/>
    </row>
    <row r="5" spans="1:26" ht="23.25" x14ac:dyDescent="0.35">
      <c r="A5" s="38"/>
      <c r="B5" s="70" t="s">
        <v>87</v>
      </c>
      <c r="C5" s="73">
        <f>B4/C4</f>
        <v>4.2272727705888444</v>
      </c>
      <c r="D5" s="73">
        <f>B4/D4</f>
        <v>20.217390922754269</v>
      </c>
      <c r="E5" s="73" t="e">
        <f>B4/E4</f>
        <v>#DIV/0!</v>
      </c>
      <c r="F5" s="73" t="e">
        <f>B4/F4</f>
        <v>#DIV/0!</v>
      </c>
      <c r="G5" s="74" t="e">
        <f>B4/G4</f>
        <v>#DIV/0!</v>
      </c>
      <c r="H5" s="74" t="e">
        <f>B4/H4</f>
        <v>#DIV/0!</v>
      </c>
      <c r="I5" s="74" t="e">
        <f>B4/I4</f>
        <v>#DIV/0!</v>
      </c>
      <c r="J5" s="75">
        <f>B4/J4</f>
        <v>930.00506876557415</v>
      </c>
      <c r="K5" s="75">
        <f>B4/K4</f>
        <v>930.00506876557415</v>
      </c>
      <c r="L5" s="75" t="e">
        <f>B4/L4</f>
        <v>#DIV/0!</v>
      </c>
      <c r="M5" s="75" t="e">
        <f>B4/M4</f>
        <v>#DIV/0!</v>
      </c>
      <c r="N5" s="75" t="e">
        <f>B4/N4</f>
        <v>#DIV/0!</v>
      </c>
      <c r="O5" s="75" t="e">
        <f>B4/O4</f>
        <v>#DIV/0!</v>
      </c>
      <c r="P5" s="71" t="e">
        <f>B4/P4</f>
        <v>#DIV/0!</v>
      </c>
      <c r="Q5" s="71"/>
      <c r="R5" s="71"/>
      <c r="S5" s="71"/>
    </row>
    <row r="6" spans="1:26" ht="23.25" x14ac:dyDescent="0.35">
      <c r="B6" s="71"/>
      <c r="C6" s="71">
        <f>599*B4/100/C5</f>
        <v>110.00000000099999</v>
      </c>
      <c r="D6" s="71">
        <f>599*B4/100/D5</f>
        <v>23.000000669999999</v>
      </c>
      <c r="E6" s="71" t="e">
        <f>599*B4/100/E5</f>
        <v>#DIV/0!</v>
      </c>
      <c r="F6" s="71" t="e">
        <f>599*B4/100/F5</f>
        <v>#DIV/0!</v>
      </c>
      <c r="G6" s="71" t="e">
        <f>599*B4/100/G5</f>
        <v>#DIV/0!</v>
      </c>
      <c r="H6" s="71" t="e">
        <f>599*B4/100/H5</f>
        <v>#DIV/0!</v>
      </c>
      <c r="I6" s="71" t="e">
        <f>599*B4/100/I5</f>
        <v>#DIV/0!</v>
      </c>
      <c r="J6" s="71">
        <f>599*B4/100/J5</f>
        <v>0.49999728000000004</v>
      </c>
      <c r="K6" s="71">
        <f>599*B4/100/K5</f>
        <v>0.49999728000000004</v>
      </c>
      <c r="L6" s="71" t="e">
        <f>599*B4/100/L5</f>
        <v>#DIV/0!</v>
      </c>
      <c r="M6" s="71" t="e">
        <f>599*B4/100/M5</f>
        <v>#DIV/0!</v>
      </c>
      <c r="N6" s="71" t="e">
        <f>599*B4/100/N5</f>
        <v>#DIV/0!</v>
      </c>
      <c r="O6" s="71" t="e">
        <f>599*B4/100/O5</f>
        <v>#DIV/0!</v>
      </c>
      <c r="P6" s="71" t="e">
        <f>599*N4/100/P5</f>
        <v>#DIV/0!</v>
      </c>
      <c r="Q6" s="71" t="e">
        <f>599*P4/100/Q5</f>
        <v>#DIV/0!</v>
      </c>
      <c r="R6" s="71"/>
      <c r="S6" s="71"/>
    </row>
    <row r="7" spans="1:26" ht="23.25" x14ac:dyDescent="0.35">
      <c r="A7" s="42"/>
      <c r="B7" s="71" t="s">
        <v>88</v>
      </c>
      <c r="C7" s="76">
        <f>C4+E4+F4</f>
        <v>18.363939899999998</v>
      </c>
      <c r="D7" s="77"/>
      <c r="E7" s="77" t="e">
        <f>C6+F6+E6</f>
        <v>#DIV/0!</v>
      </c>
      <c r="F7" s="77"/>
      <c r="G7" s="77">
        <v>104</v>
      </c>
      <c r="H7" s="77"/>
      <c r="I7" s="77"/>
      <c r="J7" s="77" t="e">
        <f>J6+O6</f>
        <v>#DIV/0!</v>
      </c>
      <c r="K7" s="77"/>
      <c r="L7" s="77"/>
      <c r="M7" s="77"/>
      <c r="N7" s="77"/>
      <c r="O7" s="77"/>
      <c r="P7" s="77"/>
      <c r="Q7" s="71"/>
      <c r="R7" s="71"/>
      <c r="S7" s="71"/>
    </row>
    <row r="8" spans="1:26" ht="23.25" x14ac:dyDescent="0.35">
      <c r="A8" s="45"/>
      <c r="B8" s="78" t="s">
        <v>89</v>
      </c>
      <c r="C8" s="79">
        <f>K4+M4</f>
        <v>8.3472000000000005E-2</v>
      </c>
      <c r="D8" s="71"/>
      <c r="E8" s="80" t="e">
        <f>K6+M6</f>
        <v>#DIV/0!</v>
      </c>
      <c r="F8" s="71"/>
      <c r="G8" s="71">
        <v>0.5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26" ht="23.25" x14ac:dyDescent="0.35">
      <c r="A9" s="42"/>
      <c r="B9" s="71" t="s">
        <v>13</v>
      </c>
      <c r="C9" s="71">
        <f>J4</f>
        <v>8.3472000000000005E-2</v>
      </c>
      <c r="D9" s="71"/>
      <c r="E9" s="71">
        <f>J6</f>
        <v>0.49999728000000004</v>
      </c>
      <c r="F9" s="71"/>
      <c r="G9" s="71">
        <v>0.5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26" ht="23.25" x14ac:dyDescent="0.35">
      <c r="B10" s="71" t="s">
        <v>15</v>
      </c>
      <c r="C10" s="89">
        <f>D4</f>
        <v>3.8397329999999998</v>
      </c>
      <c r="D10" s="89"/>
      <c r="E10" s="89">
        <f>D6</f>
        <v>23.000000669999999</v>
      </c>
      <c r="F10" s="89"/>
      <c r="G10" s="89">
        <v>23</v>
      </c>
      <c r="N10" s="71"/>
      <c r="O10" s="71"/>
      <c r="P10" s="71"/>
      <c r="Q10" s="71"/>
      <c r="R10" s="71"/>
      <c r="S10" s="71"/>
    </row>
    <row r="11" spans="1:26" ht="23.25" x14ac:dyDescent="0.35">
      <c r="C11" s="89"/>
      <c r="D11" s="89"/>
      <c r="E11" s="89" t="e">
        <f>E7+E8+E9+E10</f>
        <v>#DIV/0!</v>
      </c>
      <c r="F11" s="89"/>
      <c r="G11" s="89">
        <f>G7+G8+G9+G10</f>
        <v>128</v>
      </c>
      <c r="N11" s="71"/>
      <c r="O11" s="71"/>
      <c r="P11" s="71"/>
      <c r="Q11" s="71"/>
      <c r="R11" s="71"/>
      <c r="S11" s="71"/>
    </row>
    <row r="12" spans="1:26" ht="23.25" x14ac:dyDescent="0.35">
      <c r="N12" s="71"/>
      <c r="O12" s="71"/>
      <c r="P12" s="71"/>
      <c r="Q12" s="71"/>
      <c r="R12" s="71"/>
      <c r="S12" s="71"/>
    </row>
    <row r="13" spans="1:26" ht="23.25" x14ac:dyDescent="0.35">
      <c r="N13" s="71"/>
      <c r="O13" s="71"/>
      <c r="P13" s="71"/>
      <c r="Q13" s="71"/>
      <c r="R13" s="71"/>
      <c r="S13" s="71"/>
    </row>
    <row r="14" spans="1:26" ht="23.25" x14ac:dyDescent="0.35">
      <c r="N14" s="71"/>
      <c r="O14" s="71"/>
      <c r="P14" s="71"/>
      <c r="Q14" s="71"/>
      <c r="R14" s="71"/>
      <c r="S14" s="71"/>
    </row>
    <row r="15" spans="1:26" ht="23.25" x14ac:dyDescent="0.35">
      <c r="N15" s="71"/>
      <c r="O15" s="71"/>
      <c r="P15" s="71"/>
      <c r="Q15" s="71"/>
      <c r="R15" s="71"/>
      <c r="S15" s="71"/>
    </row>
    <row r="16" spans="1:26" ht="23.25" x14ac:dyDescent="0.35">
      <c r="A16" s="42"/>
      <c r="B16" s="71">
        <v>110</v>
      </c>
      <c r="C16" s="81">
        <f>B16*100/599</f>
        <v>18.363939899833056</v>
      </c>
      <c r="D16" s="71">
        <v>94.49</v>
      </c>
      <c r="E16" s="83"/>
      <c r="F16" s="71">
        <v>7</v>
      </c>
      <c r="G16" s="81">
        <f t="shared" ref="G16:G18" si="0">F16*100/599</f>
        <v>1.1686143572621035</v>
      </c>
      <c r="H16" s="71"/>
      <c r="I16" s="71" t="s">
        <v>72</v>
      </c>
      <c r="J16" s="84"/>
      <c r="K16" s="71" t="s">
        <v>73</v>
      </c>
      <c r="L16" s="71"/>
      <c r="M16" s="71"/>
      <c r="N16" s="71"/>
      <c r="O16" s="71"/>
      <c r="P16" s="71"/>
      <c r="Q16" s="71"/>
      <c r="R16" s="71"/>
      <c r="S16" s="71"/>
    </row>
    <row r="17" spans="1:19" ht="23.25" x14ac:dyDescent="0.35">
      <c r="A17" s="42"/>
      <c r="B17" s="71">
        <v>0.5</v>
      </c>
      <c r="C17" s="81">
        <f t="shared" ref="C17:C18" si="1">B17*100/599</f>
        <v>8.347245409015025E-2</v>
      </c>
      <c r="D17" s="71">
        <v>95.82</v>
      </c>
      <c r="E17" s="83"/>
      <c r="F17" s="71">
        <v>8</v>
      </c>
      <c r="G17" s="81">
        <f t="shared" si="0"/>
        <v>1.335559265442404</v>
      </c>
      <c r="H17" s="71"/>
      <c r="I17" s="85" t="s">
        <v>74</v>
      </c>
      <c r="J17" s="71"/>
      <c r="K17" s="86" t="s">
        <v>75</v>
      </c>
      <c r="L17" s="71"/>
      <c r="M17" s="77"/>
      <c r="N17" s="71"/>
      <c r="O17" s="71"/>
      <c r="P17" s="71"/>
      <c r="Q17" s="71"/>
      <c r="R17" s="71"/>
      <c r="S17" s="71"/>
    </row>
    <row r="18" spans="1:19" ht="23.25" x14ac:dyDescent="0.35">
      <c r="A18" s="42"/>
      <c r="B18" s="71">
        <v>23</v>
      </c>
      <c r="C18" s="81">
        <f t="shared" si="1"/>
        <v>3.8397328881469117</v>
      </c>
      <c r="D18" s="71">
        <v>89.48</v>
      </c>
      <c r="E18" s="83" t="s">
        <v>42</v>
      </c>
      <c r="F18" s="71">
        <v>9</v>
      </c>
      <c r="G18" s="81">
        <f t="shared" si="0"/>
        <v>1.5025041736227045</v>
      </c>
      <c r="H18" s="71"/>
      <c r="I18" s="71" t="s">
        <v>76</v>
      </c>
      <c r="J18" s="84"/>
      <c r="K18" s="71"/>
      <c r="L18" s="71"/>
      <c r="M18" s="71"/>
      <c r="N18" s="71"/>
      <c r="O18" s="71"/>
      <c r="P18" s="71"/>
      <c r="Q18" s="71"/>
      <c r="R18" s="71"/>
      <c r="S18" s="71"/>
    </row>
    <row r="19" spans="1:19" ht="23.25" x14ac:dyDescent="0.35">
      <c r="A19" s="29"/>
      <c r="B19" s="70"/>
      <c r="C19" s="71"/>
      <c r="D19" s="82"/>
      <c r="E19" s="71"/>
      <c r="F19" s="81"/>
      <c r="G19" s="71"/>
      <c r="H19" s="87"/>
      <c r="I19" s="78"/>
      <c r="J19" s="81"/>
      <c r="K19" s="75"/>
      <c r="L19" s="75"/>
      <c r="M19" s="75"/>
      <c r="N19" s="75"/>
      <c r="O19" s="75"/>
      <c r="P19" s="75"/>
      <c r="Q19" s="75"/>
      <c r="R19" s="71"/>
      <c r="S19" s="71"/>
    </row>
    <row r="20" spans="1:19" ht="23.25" x14ac:dyDescent="0.35">
      <c r="A20" s="2"/>
      <c r="B20" s="70"/>
      <c r="C20" s="70"/>
      <c r="D20" s="70"/>
      <c r="E20" s="88"/>
      <c r="F20" s="88"/>
      <c r="G20" s="70"/>
      <c r="H20" s="70"/>
      <c r="I20" s="70"/>
      <c r="J20" s="70"/>
      <c r="K20" s="70"/>
      <c r="L20" s="88"/>
      <c r="M20" s="70"/>
      <c r="N20" s="88"/>
      <c r="O20" s="70"/>
      <c r="P20" s="70"/>
      <c r="Q20" s="70"/>
      <c r="R20" s="71"/>
      <c r="S20" s="71"/>
    </row>
    <row r="21" spans="1:19" ht="23.25" x14ac:dyDescent="0.35">
      <c r="A21" s="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0"/>
      <c r="P21" s="70"/>
      <c r="Q21" s="70"/>
      <c r="R21" s="71"/>
      <c r="S21" s="71"/>
    </row>
    <row r="22" spans="1:19" ht="23.25" x14ac:dyDescent="0.35">
      <c r="A22" s="3"/>
      <c r="B22" s="73"/>
      <c r="C22" s="73"/>
      <c r="D22" s="73"/>
      <c r="E22" s="73"/>
      <c r="F22" s="74"/>
      <c r="G22" s="74"/>
      <c r="H22" s="74"/>
      <c r="I22" s="75"/>
      <c r="J22" s="75"/>
      <c r="K22" s="75"/>
      <c r="L22" s="75"/>
      <c r="M22" s="75"/>
      <c r="N22" s="75"/>
      <c r="O22" s="88"/>
      <c r="P22" s="70"/>
      <c r="Q22" s="70"/>
      <c r="R22" s="71"/>
      <c r="S22" s="71"/>
    </row>
    <row r="23" spans="1:19" ht="23.25" x14ac:dyDescent="0.35"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0"/>
      <c r="P23" s="70"/>
      <c r="Q23" s="70"/>
      <c r="R23" s="71"/>
      <c r="S23" s="71"/>
    </row>
    <row r="24" spans="1:19" ht="23.25" x14ac:dyDescent="0.35">
      <c r="B24" s="71" t="s">
        <v>6</v>
      </c>
      <c r="C24" s="71" t="s">
        <v>53</v>
      </c>
      <c r="D24" s="71" t="s">
        <v>52</v>
      </c>
      <c r="E24" s="71" t="s">
        <v>1</v>
      </c>
      <c r="F24" s="71" t="s">
        <v>47</v>
      </c>
      <c r="G24" s="71" t="s">
        <v>54</v>
      </c>
      <c r="H24" s="71" t="s">
        <v>4</v>
      </c>
      <c r="I24" s="71" t="s">
        <v>49</v>
      </c>
      <c r="J24" s="71" t="s">
        <v>2</v>
      </c>
      <c r="K24" s="71" t="s">
        <v>3</v>
      </c>
      <c r="L24" s="71" t="s">
        <v>48</v>
      </c>
      <c r="M24" s="71" t="s">
        <v>85</v>
      </c>
      <c r="N24" s="71" t="s">
        <v>5</v>
      </c>
      <c r="O24" s="71" t="s">
        <v>86</v>
      </c>
      <c r="P24" s="71"/>
      <c r="Q24" s="71"/>
      <c r="R24" s="71"/>
      <c r="S24" s="71"/>
    </row>
    <row r="25" spans="1:19" ht="23.25" x14ac:dyDescent="0.35">
      <c r="B25" s="71">
        <v>93.774999999999991</v>
      </c>
      <c r="C25" s="71"/>
      <c r="D25" s="71"/>
      <c r="E25" s="71"/>
      <c r="F25" s="71">
        <v>2.5000000000000001E-2</v>
      </c>
      <c r="G25" s="71">
        <v>3.85</v>
      </c>
      <c r="H25" s="71">
        <v>2.2000000000000002</v>
      </c>
      <c r="I25" s="71"/>
      <c r="J25" s="71">
        <v>0.01</v>
      </c>
      <c r="K25" s="71">
        <v>2.5000000000000001E-2</v>
      </c>
      <c r="L25" s="71">
        <v>7.0000000000000007E-2</v>
      </c>
      <c r="M25" s="71"/>
      <c r="N25" s="71">
        <v>4.4999999999999998E-2</v>
      </c>
      <c r="O25" s="71"/>
      <c r="P25" s="71"/>
      <c r="Q25" s="71"/>
      <c r="R25" s="71"/>
      <c r="S25" s="71"/>
    </row>
    <row r="26" spans="1:19" ht="23.25" x14ac:dyDescent="0.35">
      <c r="B26" s="71">
        <v>80.644157300439971</v>
      </c>
      <c r="C26" s="71">
        <v>0</v>
      </c>
      <c r="D26" s="71">
        <v>0</v>
      </c>
      <c r="E26" s="71">
        <v>0</v>
      </c>
      <c r="F26" s="71">
        <v>1.8894005743496499E-2</v>
      </c>
      <c r="G26" s="71">
        <v>15.393910844382363</v>
      </c>
      <c r="H26" s="71">
        <v>3.7616596401949636</v>
      </c>
      <c r="I26" s="71">
        <v>0</v>
      </c>
      <c r="J26" s="71">
        <v>8.1817260998195175E-3</v>
      </c>
      <c r="K26" s="71">
        <v>2.3091462299322321E-2</v>
      </c>
      <c r="L26" s="71">
        <v>6.1195527941688498E-2</v>
      </c>
      <c r="M26" s="71">
        <v>0</v>
      </c>
      <c r="N26" s="71">
        <v>8.8909492898382264E-2</v>
      </c>
      <c r="O26" s="71">
        <v>0</v>
      </c>
      <c r="P26" s="71"/>
      <c r="Q26" s="71"/>
      <c r="R26" s="71"/>
      <c r="S26" s="71"/>
    </row>
    <row r="27" spans="1:19" ht="23.25" x14ac:dyDescent="0.35"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</row>
    <row r="28" spans="1:19" ht="23.25" x14ac:dyDescent="0.35"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</row>
    <row r="29" spans="1:19" ht="23.25" x14ac:dyDescent="0.35"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</row>
  </sheetData>
  <pageMargins left="0.7" right="0.7" top="0.78740157499999996" bottom="0.78740157499999996" header="0.3" footer="0.3"/>
  <pageSetup paperSize="9" orientation="portrait" verticalDpi="597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8277-7E44-4614-A20B-46C3E1869B6A}">
  <dimension ref="A1:Z29"/>
  <sheetViews>
    <sheetView workbookViewId="0">
      <selection activeCell="C4" sqref="C4:S4"/>
    </sheetView>
  </sheetViews>
  <sheetFormatPr baseColWidth="10" defaultRowHeight="15" x14ac:dyDescent="0.25"/>
  <cols>
    <col min="2" max="2" width="17.28515625" customWidth="1"/>
    <col min="3" max="3" width="23.140625" customWidth="1"/>
    <col min="4" max="4" width="11.5703125" bestFit="1" customWidth="1"/>
    <col min="5" max="5" width="13" bestFit="1" customWidth="1"/>
    <col min="6" max="8" width="11.5703125" bestFit="1" customWidth="1"/>
    <col min="9" max="9" width="13.5703125" customWidth="1"/>
    <col min="10" max="11" width="11.5703125" bestFit="1" customWidth="1"/>
    <col min="12" max="13" width="20.28515625" bestFit="1" customWidth="1"/>
    <col min="14" max="14" width="11.5703125" bestFit="1" customWidth="1"/>
    <col min="15" max="15" width="20.28515625" bestFit="1" customWidth="1"/>
    <col min="16" max="17" width="12.140625" bestFit="1" customWidth="1"/>
  </cols>
  <sheetData>
    <row r="1" spans="1:26" ht="18" x14ac:dyDescent="0.25">
      <c r="A1" s="34"/>
      <c r="B1" s="38"/>
      <c r="C1" s="3"/>
      <c r="D1" s="3"/>
      <c r="E1" s="39"/>
      <c r="F1" s="1"/>
      <c r="G1" s="40"/>
      <c r="H1" s="3"/>
      <c r="I1" s="3"/>
      <c r="J1" s="12"/>
      <c r="K1" s="39"/>
      <c r="L1" s="3"/>
      <c r="M1" s="3"/>
      <c r="N1" s="3"/>
      <c r="O1" s="3"/>
    </row>
    <row r="2" spans="1:26" ht="15.75" x14ac:dyDescent="0.25">
      <c r="B2" s="3">
        <f>C2+D2+E2+F2+G2+H2+I2+J2+K2+L2+M2+N2+O2</f>
        <v>22.704506720000001</v>
      </c>
      <c r="C2" s="64">
        <f>C4+D4+E4+F4+G4+H4+I4</f>
        <v>22.53756272</v>
      </c>
      <c r="D2" s="64"/>
      <c r="E2" s="3"/>
      <c r="F2" s="3"/>
      <c r="G2" s="3"/>
      <c r="H2" s="26"/>
      <c r="I2" s="3"/>
      <c r="J2" s="26">
        <f>J4</f>
        <v>8.3472000000000005E-2</v>
      </c>
      <c r="K2" s="4">
        <f>K4+L4+M4+N4+O4</f>
        <v>8.3472000000000005E-2</v>
      </c>
      <c r="L2" s="64"/>
      <c r="M2" s="4"/>
      <c r="N2" s="65"/>
      <c r="O2" s="26"/>
      <c r="P2" s="4"/>
    </row>
    <row r="3" spans="1:26" ht="26.25" x14ac:dyDescent="0.4">
      <c r="A3" s="38"/>
      <c r="B3" s="70" t="s">
        <v>14</v>
      </c>
      <c r="C3" s="70" t="s">
        <v>56</v>
      </c>
      <c r="D3" s="70" t="s">
        <v>15</v>
      </c>
      <c r="E3" s="70" t="s">
        <v>8</v>
      </c>
      <c r="F3" s="70" t="s">
        <v>9</v>
      </c>
      <c r="G3" s="70" t="s">
        <v>57</v>
      </c>
      <c r="H3" s="70" t="s">
        <v>58</v>
      </c>
      <c r="I3" s="70" t="s">
        <v>77</v>
      </c>
      <c r="J3" s="70" t="s">
        <v>13</v>
      </c>
      <c r="K3" s="70" t="s">
        <v>16</v>
      </c>
      <c r="L3" s="70" t="s">
        <v>55</v>
      </c>
      <c r="M3" s="70" t="s">
        <v>44</v>
      </c>
      <c r="N3" s="70" t="s">
        <v>10</v>
      </c>
      <c r="O3" s="70" t="s">
        <v>12</v>
      </c>
      <c r="P3" s="71" t="s">
        <v>80</v>
      </c>
      <c r="Q3" s="71" t="s">
        <v>81</v>
      </c>
      <c r="R3" s="71" t="s">
        <v>82</v>
      </c>
      <c r="S3" s="71" t="s">
        <v>83</v>
      </c>
      <c r="T3" s="33" t="s">
        <v>45</v>
      </c>
      <c r="U3" s="33" t="s">
        <v>17</v>
      </c>
      <c r="V3" s="33" t="s">
        <v>84</v>
      </c>
      <c r="W3" s="33" t="s">
        <v>0</v>
      </c>
      <c r="X3" s="33" t="s">
        <v>11</v>
      </c>
      <c r="Y3" s="33" t="s">
        <v>10</v>
      </c>
      <c r="Z3" s="33" t="s">
        <v>46</v>
      </c>
    </row>
    <row r="4" spans="1:26" ht="23.25" x14ac:dyDescent="0.35">
      <c r="A4" s="38"/>
      <c r="B4" s="70">
        <f>100-C4-D4-E4-F4-G4-H4-I4-J4-K4-L4-M4-N4-O4</f>
        <v>77.295493280000002</v>
      </c>
      <c r="C4" s="71">
        <v>18.697829720000001</v>
      </c>
      <c r="D4" s="71">
        <v>3.8397329999999998</v>
      </c>
      <c r="E4" s="71"/>
      <c r="F4" s="71"/>
      <c r="G4" s="72"/>
      <c r="H4" s="72"/>
      <c r="I4" s="72"/>
      <c r="J4" s="71">
        <v>8.3472000000000005E-2</v>
      </c>
      <c r="K4" s="71">
        <v>8.3472000000000005E-2</v>
      </c>
      <c r="L4" s="72"/>
      <c r="M4" s="71"/>
      <c r="N4" s="72"/>
      <c r="O4" s="72"/>
      <c r="P4" s="71"/>
      <c r="Q4" s="71"/>
      <c r="R4" s="71"/>
      <c r="S4" s="71"/>
    </row>
    <row r="5" spans="1:26" ht="23.25" x14ac:dyDescent="0.35">
      <c r="A5" s="38"/>
      <c r="B5" s="70" t="s">
        <v>87</v>
      </c>
      <c r="C5" s="73">
        <f>B4/C4</f>
        <v>4.1339286129727357</v>
      </c>
      <c r="D5" s="73">
        <f>B4/D4</f>
        <v>20.13043440260039</v>
      </c>
      <c r="E5" s="73" t="e">
        <f>B4/E4</f>
        <v>#DIV/0!</v>
      </c>
      <c r="F5" s="73" t="e">
        <f>B4/F4</f>
        <v>#DIV/0!</v>
      </c>
      <c r="G5" s="74" t="e">
        <f>B4/G4</f>
        <v>#DIV/0!</v>
      </c>
      <c r="H5" s="74" t="e">
        <f>B4/H4</f>
        <v>#DIV/0!</v>
      </c>
      <c r="I5" s="74" t="e">
        <f>B4/I4</f>
        <v>#DIV/0!</v>
      </c>
      <c r="J5" s="75">
        <f>B4/J4</f>
        <v>926.00504696185544</v>
      </c>
      <c r="K5" s="75">
        <f>B4/K4</f>
        <v>926.00504696185544</v>
      </c>
      <c r="L5" s="75" t="e">
        <f>B4/L4</f>
        <v>#DIV/0!</v>
      </c>
      <c r="M5" s="75" t="e">
        <f>B4/M4</f>
        <v>#DIV/0!</v>
      </c>
      <c r="N5" s="75" t="e">
        <f>B4/N4</f>
        <v>#DIV/0!</v>
      </c>
      <c r="O5" s="75" t="e">
        <f>B4/O4</f>
        <v>#DIV/0!</v>
      </c>
      <c r="P5" s="71" t="e">
        <f>B4/P4</f>
        <v>#DIV/0!</v>
      </c>
      <c r="Q5" s="71"/>
      <c r="R5" s="71"/>
      <c r="S5" s="71"/>
    </row>
    <row r="6" spans="1:26" ht="23.25" x14ac:dyDescent="0.35">
      <c r="B6" s="71"/>
      <c r="C6" s="71">
        <f>599*B4/100/C5</f>
        <v>112.00000002280001</v>
      </c>
      <c r="D6" s="71">
        <f>599*B4/100/D5</f>
        <v>23.000000670000002</v>
      </c>
      <c r="E6" s="71" t="e">
        <f>599*B4/100/E5</f>
        <v>#DIV/0!</v>
      </c>
      <c r="F6" s="71" t="e">
        <f>599*B4/100/F5</f>
        <v>#DIV/0!</v>
      </c>
      <c r="G6" s="71" t="e">
        <f>599*B4/100/G5</f>
        <v>#DIV/0!</v>
      </c>
      <c r="H6" s="71" t="e">
        <f>599*B4/100/H5</f>
        <v>#DIV/0!</v>
      </c>
      <c r="I6" s="71" t="e">
        <f>599*B4/100/I5</f>
        <v>#DIV/0!</v>
      </c>
      <c r="J6" s="71">
        <f>599*B4/100/J5</f>
        <v>0.49999728000000004</v>
      </c>
      <c r="K6" s="71">
        <f>599*B4/100/K5</f>
        <v>0.49999728000000004</v>
      </c>
      <c r="L6" s="71" t="e">
        <f>599*B4/100/L5</f>
        <v>#DIV/0!</v>
      </c>
      <c r="M6" s="71" t="e">
        <f>599*B4/100/M5</f>
        <v>#DIV/0!</v>
      </c>
      <c r="N6" s="71" t="e">
        <f>599*B4/100/N5</f>
        <v>#DIV/0!</v>
      </c>
      <c r="O6" s="71" t="e">
        <f>599*B4/100/O5</f>
        <v>#DIV/0!</v>
      </c>
      <c r="P6" s="71" t="e">
        <f>599*N4/100/P5</f>
        <v>#DIV/0!</v>
      </c>
      <c r="Q6" s="71" t="e">
        <f>599*P4/100/Q5</f>
        <v>#DIV/0!</v>
      </c>
      <c r="R6" s="71"/>
      <c r="S6" s="71"/>
    </row>
    <row r="7" spans="1:26" ht="23.25" x14ac:dyDescent="0.35">
      <c r="A7" s="42"/>
      <c r="B7" s="71" t="s">
        <v>88</v>
      </c>
      <c r="C7" s="76">
        <f>C4+E4+F4</f>
        <v>18.697829720000001</v>
      </c>
      <c r="D7" s="77"/>
      <c r="E7" s="77" t="e">
        <f>C6+F6+E6</f>
        <v>#DIV/0!</v>
      </c>
      <c r="F7" s="77"/>
      <c r="G7" s="77">
        <v>104</v>
      </c>
      <c r="H7" s="77"/>
      <c r="I7" s="77"/>
      <c r="J7" s="77" t="e">
        <f>J6+O6</f>
        <v>#DIV/0!</v>
      </c>
      <c r="K7" s="77"/>
      <c r="L7" s="77"/>
      <c r="M7" s="77"/>
      <c r="N7" s="77"/>
      <c r="O7" s="77"/>
      <c r="P7" s="77"/>
      <c r="Q7" s="71"/>
      <c r="R7" s="71"/>
      <c r="S7" s="71"/>
    </row>
    <row r="8" spans="1:26" ht="23.25" x14ac:dyDescent="0.35">
      <c r="A8" s="45"/>
      <c r="B8" s="78" t="s">
        <v>89</v>
      </c>
      <c r="C8" s="79">
        <f>K4+M4</f>
        <v>8.3472000000000005E-2</v>
      </c>
      <c r="D8" s="71"/>
      <c r="E8" s="80" t="e">
        <f>K6+M6</f>
        <v>#DIV/0!</v>
      </c>
      <c r="F8" s="71"/>
      <c r="G8" s="71">
        <v>0.5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26" ht="23.25" x14ac:dyDescent="0.35">
      <c r="A9" s="42"/>
      <c r="B9" s="71" t="s">
        <v>13</v>
      </c>
      <c r="C9" s="71">
        <f>J4</f>
        <v>8.3472000000000005E-2</v>
      </c>
      <c r="D9" s="71"/>
      <c r="E9" s="71">
        <f>J6</f>
        <v>0.49999728000000004</v>
      </c>
      <c r="F9" s="71"/>
      <c r="G9" s="71">
        <v>0.5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26" ht="23.25" x14ac:dyDescent="0.35">
      <c r="B10" s="71" t="s">
        <v>15</v>
      </c>
      <c r="C10" s="89">
        <f>D4</f>
        <v>3.8397329999999998</v>
      </c>
      <c r="D10" s="89"/>
      <c r="E10" s="89">
        <f>D6</f>
        <v>23.000000670000002</v>
      </c>
      <c r="F10" s="89"/>
      <c r="G10" s="89">
        <v>23</v>
      </c>
      <c r="N10" s="71"/>
      <c r="O10" s="71"/>
      <c r="P10" s="71"/>
      <c r="Q10" s="71"/>
      <c r="R10" s="71"/>
      <c r="S10" s="71"/>
    </row>
    <row r="11" spans="1:26" ht="23.25" x14ac:dyDescent="0.35">
      <c r="C11" s="89"/>
      <c r="D11" s="89"/>
      <c r="E11" s="89" t="e">
        <f>E7+E8+E9+E10</f>
        <v>#DIV/0!</v>
      </c>
      <c r="F11" s="89"/>
      <c r="G11" s="89">
        <f>G7+G8+G9+G10</f>
        <v>128</v>
      </c>
      <c r="N11" s="71"/>
      <c r="O11" s="71"/>
      <c r="P11" s="71"/>
      <c r="Q11" s="71"/>
      <c r="R11" s="71"/>
      <c r="S11" s="71"/>
    </row>
    <row r="12" spans="1:26" ht="23.25" x14ac:dyDescent="0.35">
      <c r="N12" s="71"/>
      <c r="O12" s="71"/>
      <c r="P12" s="71"/>
      <c r="Q12" s="71"/>
      <c r="R12" s="71"/>
      <c r="S12" s="71"/>
    </row>
    <row r="13" spans="1:26" ht="23.25" x14ac:dyDescent="0.35">
      <c r="N13" s="71"/>
      <c r="O13" s="71"/>
      <c r="P13" s="71"/>
      <c r="Q13" s="71"/>
      <c r="R13" s="71"/>
      <c r="S13" s="71"/>
    </row>
    <row r="14" spans="1:26" ht="23.25" x14ac:dyDescent="0.35">
      <c r="N14" s="71"/>
      <c r="O14" s="71"/>
      <c r="P14" s="71"/>
      <c r="Q14" s="71"/>
      <c r="R14" s="71"/>
      <c r="S14" s="71"/>
    </row>
    <row r="15" spans="1:26" ht="23.25" x14ac:dyDescent="0.35">
      <c r="N15" s="71"/>
      <c r="O15" s="71"/>
      <c r="P15" s="71"/>
      <c r="Q15" s="71"/>
      <c r="R15" s="71"/>
      <c r="S15" s="71"/>
    </row>
    <row r="16" spans="1:26" ht="23.25" x14ac:dyDescent="0.35">
      <c r="A16" s="42"/>
      <c r="B16" s="71">
        <v>112</v>
      </c>
      <c r="C16" s="81">
        <f>B16*100/599</f>
        <v>18.697829716193656</v>
      </c>
      <c r="D16" s="71">
        <v>94.49</v>
      </c>
      <c r="E16" s="83"/>
      <c r="F16" s="71">
        <v>7</v>
      </c>
      <c r="G16" s="81">
        <f t="shared" ref="G16:G18" si="0">F16*100/599</f>
        <v>1.1686143572621035</v>
      </c>
      <c r="H16" s="71"/>
      <c r="I16" s="71" t="s">
        <v>72</v>
      </c>
      <c r="J16" s="84"/>
      <c r="K16" s="71" t="s">
        <v>73</v>
      </c>
      <c r="L16" s="71"/>
      <c r="M16" s="71"/>
      <c r="N16" s="71"/>
      <c r="O16" s="71"/>
      <c r="P16" s="71"/>
      <c r="Q16" s="71"/>
      <c r="R16" s="71"/>
      <c r="S16" s="71"/>
    </row>
    <row r="17" spans="1:19" ht="23.25" x14ac:dyDescent="0.35">
      <c r="A17" s="42"/>
      <c r="B17" s="71">
        <v>0.5</v>
      </c>
      <c r="C17" s="81">
        <f t="shared" ref="C17:C18" si="1">B17*100/599</f>
        <v>8.347245409015025E-2</v>
      </c>
      <c r="D17" s="71">
        <v>95.82</v>
      </c>
      <c r="E17" s="83"/>
      <c r="F17" s="71">
        <v>8</v>
      </c>
      <c r="G17" s="81">
        <f t="shared" si="0"/>
        <v>1.335559265442404</v>
      </c>
      <c r="H17" s="71"/>
      <c r="I17" s="85" t="s">
        <v>74</v>
      </c>
      <c r="J17" s="71"/>
      <c r="K17" s="86" t="s">
        <v>75</v>
      </c>
      <c r="L17" s="71"/>
      <c r="M17" s="77"/>
      <c r="N17" s="71"/>
      <c r="O17" s="71"/>
      <c r="P17" s="71"/>
      <c r="Q17" s="71"/>
      <c r="R17" s="71"/>
      <c r="S17" s="71"/>
    </row>
    <row r="18" spans="1:19" ht="23.25" x14ac:dyDescent="0.35">
      <c r="A18" s="42"/>
      <c r="B18" s="71">
        <v>23</v>
      </c>
      <c r="C18" s="81">
        <f t="shared" si="1"/>
        <v>3.8397328881469117</v>
      </c>
      <c r="D18" s="71">
        <v>89.48</v>
      </c>
      <c r="E18" s="83" t="s">
        <v>42</v>
      </c>
      <c r="F18" s="71">
        <v>9</v>
      </c>
      <c r="G18" s="81">
        <f t="shared" si="0"/>
        <v>1.5025041736227045</v>
      </c>
      <c r="H18" s="71"/>
      <c r="I18" s="71" t="s">
        <v>76</v>
      </c>
      <c r="J18" s="84"/>
      <c r="K18" s="71"/>
      <c r="L18" s="71"/>
      <c r="M18" s="71"/>
      <c r="N18" s="71"/>
      <c r="O18" s="71"/>
      <c r="P18" s="71"/>
      <c r="Q18" s="71"/>
      <c r="R18" s="71"/>
      <c r="S18" s="71"/>
    </row>
    <row r="19" spans="1:19" ht="23.25" x14ac:dyDescent="0.35">
      <c r="A19" s="29"/>
      <c r="B19" s="70"/>
      <c r="C19" s="71"/>
      <c r="D19" s="82"/>
      <c r="E19" s="71"/>
      <c r="F19" s="81"/>
      <c r="G19" s="71"/>
      <c r="H19" s="87"/>
      <c r="I19" s="78"/>
      <c r="J19" s="81"/>
      <c r="K19" s="75"/>
      <c r="L19" s="75"/>
      <c r="M19" s="75"/>
      <c r="N19" s="75"/>
      <c r="O19" s="75"/>
      <c r="P19" s="75"/>
      <c r="Q19" s="75"/>
      <c r="R19" s="71"/>
      <c r="S19" s="71"/>
    </row>
    <row r="20" spans="1:19" ht="23.25" x14ac:dyDescent="0.35">
      <c r="A20" s="2"/>
      <c r="B20" s="70"/>
      <c r="C20" s="70"/>
      <c r="D20" s="70"/>
      <c r="E20" s="88"/>
      <c r="F20" s="88"/>
      <c r="G20" s="70"/>
      <c r="H20" s="70"/>
      <c r="I20" s="70"/>
      <c r="J20" s="70"/>
      <c r="K20" s="70"/>
      <c r="L20" s="88"/>
      <c r="M20" s="70"/>
      <c r="N20" s="88"/>
      <c r="O20" s="70"/>
      <c r="P20" s="70"/>
      <c r="Q20" s="70"/>
      <c r="R20" s="71"/>
      <c r="S20" s="71"/>
    </row>
    <row r="21" spans="1:19" ht="23.25" x14ac:dyDescent="0.35">
      <c r="A21" s="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0"/>
      <c r="P21" s="70"/>
      <c r="Q21" s="70"/>
      <c r="R21" s="71"/>
      <c r="S21" s="71"/>
    </row>
    <row r="22" spans="1:19" ht="23.25" x14ac:dyDescent="0.35">
      <c r="A22" s="3"/>
      <c r="B22" s="73"/>
      <c r="C22" s="73"/>
      <c r="D22" s="73"/>
      <c r="E22" s="73"/>
      <c r="F22" s="74"/>
      <c r="G22" s="74"/>
      <c r="H22" s="74"/>
      <c r="I22" s="75"/>
      <c r="J22" s="75"/>
      <c r="K22" s="75"/>
      <c r="L22" s="75"/>
      <c r="M22" s="75"/>
      <c r="N22" s="75"/>
      <c r="O22" s="88"/>
      <c r="P22" s="70"/>
      <c r="Q22" s="70"/>
      <c r="R22" s="71"/>
      <c r="S22" s="71"/>
    </row>
    <row r="23" spans="1:19" ht="23.25" x14ac:dyDescent="0.35"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0"/>
      <c r="P23" s="70"/>
      <c r="Q23" s="70"/>
      <c r="R23" s="71"/>
      <c r="S23" s="71"/>
    </row>
    <row r="24" spans="1:19" ht="23.25" x14ac:dyDescent="0.35">
      <c r="B24" s="71" t="s">
        <v>6</v>
      </c>
      <c r="C24" s="71" t="s">
        <v>53</v>
      </c>
      <c r="D24" s="71" t="s">
        <v>52</v>
      </c>
      <c r="E24" s="71" t="s">
        <v>1</v>
      </c>
      <c r="F24" s="71" t="s">
        <v>47</v>
      </c>
      <c r="G24" s="71" t="s">
        <v>54</v>
      </c>
      <c r="H24" s="71" t="s">
        <v>4</v>
      </c>
      <c r="I24" s="71" t="s">
        <v>49</v>
      </c>
      <c r="J24" s="71" t="s">
        <v>2</v>
      </c>
      <c r="K24" s="71" t="s">
        <v>3</v>
      </c>
      <c r="L24" s="71" t="s">
        <v>48</v>
      </c>
      <c r="M24" s="71" t="s">
        <v>85</v>
      </c>
      <c r="N24" s="71" t="s">
        <v>5</v>
      </c>
      <c r="O24" s="71" t="s">
        <v>86</v>
      </c>
      <c r="P24" s="71"/>
      <c r="Q24" s="71"/>
      <c r="R24" s="71"/>
      <c r="S24" s="71"/>
    </row>
    <row r="25" spans="1:19" ht="23.25" x14ac:dyDescent="0.35">
      <c r="B25" s="71">
        <v>93.774999999999991</v>
      </c>
      <c r="C25" s="71"/>
      <c r="D25" s="71"/>
      <c r="E25" s="71"/>
      <c r="F25" s="71">
        <v>2.5000000000000001E-2</v>
      </c>
      <c r="G25" s="71">
        <v>3.85</v>
      </c>
      <c r="H25" s="71">
        <v>2.2000000000000002</v>
      </c>
      <c r="I25" s="71"/>
      <c r="J25" s="71">
        <v>0.01</v>
      </c>
      <c r="K25" s="71">
        <v>2.5000000000000001E-2</v>
      </c>
      <c r="L25" s="71">
        <v>7.0000000000000007E-2</v>
      </c>
      <c r="M25" s="71"/>
      <c r="N25" s="71">
        <v>4.4999999999999998E-2</v>
      </c>
      <c r="O25" s="71"/>
      <c r="P25" s="71"/>
      <c r="Q25" s="71"/>
      <c r="R25" s="71"/>
      <c r="S25" s="71"/>
    </row>
    <row r="26" spans="1:19" ht="23.25" x14ac:dyDescent="0.35">
      <c r="B26" s="71">
        <v>80.644157300439971</v>
      </c>
      <c r="C26" s="71">
        <v>0</v>
      </c>
      <c r="D26" s="71">
        <v>0</v>
      </c>
      <c r="E26" s="71">
        <v>0</v>
      </c>
      <c r="F26" s="71">
        <v>1.8894005743496499E-2</v>
      </c>
      <c r="G26" s="71">
        <v>15.393910844382363</v>
      </c>
      <c r="H26" s="71">
        <v>3.7616596401949636</v>
      </c>
      <c r="I26" s="71">
        <v>0</v>
      </c>
      <c r="J26" s="71">
        <v>8.1817260998195175E-3</v>
      </c>
      <c r="K26" s="71">
        <v>2.3091462299322321E-2</v>
      </c>
      <c r="L26" s="71">
        <v>6.1195527941688498E-2</v>
      </c>
      <c r="M26" s="71">
        <v>0</v>
      </c>
      <c r="N26" s="71">
        <v>8.8909492898382264E-2</v>
      </c>
      <c r="O26" s="71">
        <v>0</v>
      </c>
      <c r="P26" s="71"/>
      <c r="Q26" s="71"/>
      <c r="R26" s="71"/>
      <c r="S26" s="71"/>
    </row>
    <row r="27" spans="1:19" ht="23.25" x14ac:dyDescent="0.35"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</row>
    <row r="28" spans="1:19" ht="23.25" x14ac:dyDescent="0.35"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</row>
    <row r="29" spans="1:19" ht="23.25" x14ac:dyDescent="0.35"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</row>
  </sheetData>
  <pageMargins left="0.7" right="0.7" top="0.78740157499999996" bottom="0.78740157499999996" header="0.3" footer="0.3"/>
  <pageSetup paperSize="9" orientation="portrait" verticalDpi="597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1180C-3689-42B3-B755-74AB2E75B120}">
  <dimension ref="A1:Z29"/>
  <sheetViews>
    <sheetView workbookViewId="0">
      <selection activeCell="C4" sqref="C4:S4"/>
    </sheetView>
  </sheetViews>
  <sheetFormatPr baseColWidth="10" defaultRowHeight="15" x14ac:dyDescent="0.25"/>
  <cols>
    <col min="2" max="2" width="17.28515625" customWidth="1"/>
    <col min="3" max="3" width="23.140625" customWidth="1"/>
    <col min="4" max="4" width="11.5703125" bestFit="1" customWidth="1"/>
    <col min="5" max="5" width="13" bestFit="1" customWidth="1"/>
    <col min="6" max="8" width="11.5703125" bestFit="1" customWidth="1"/>
    <col min="9" max="9" width="13.5703125" customWidth="1"/>
    <col min="10" max="11" width="11.5703125" bestFit="1" customWidth="1"/>
    <col min="12" max="13" width="20.28515625" bestFit="1" customWidth="1"/>
    <col min="14" max="14" width="11.5703125" bestFit="1" customWidth="1"/>
    <col min="15" max="15" width="20.28515625" bestFit="1" customWidth="1"/>
    <col min="16" max="17" width="12.140625" bestFit="1" customWidth="1"/>
  </cols>
  <sheetData>
    <row r="1" spans="1:26" ht="18" x14ac:dyDescent="0.25">
      <c r="A1" s="34"/>
      <c r="B1" s="38"/>
      <c r="C1" s="3"/>
      <c r="D1" s="3"/>
      <c r="E1" s="39"/>
      <c r="F1" s="1"/>
      <c r="G1" s="40"/>
      <c r="H1" s="3"/>
      <c r="I1" s="3"/>
      <c r="J1" s="12"/>
      <c r="K1" s="39"/>
      <c r="L1" s="3"/>
      <c r="M1" s="3"/>
      <c r="N1" s="3"/>
      <c r="O1" s="3"/>
    </row>
    <row r="2" spans="1:26" ht="15.75" x14ac:dyDescent="0.25">
      <c r="B2" s="3">
        <f>C2+D2+E2+F2+G2+H2+I2+J2+K2+L2+M2+N2+O2</f>
        <v>23.03839653</v>
      </c>
      <c r="C2" s="64">
        <f>C4+D4+E4+F4+G4+H4+I4</f>
        <v>22.871452529999999</v>
      </c>
      <c r="D2" s="64"/>
      <c r="E2" s="3"/>
      <c r="F2" s="3"/>
      <c r="G2" s="3"/>
      <c r="H2" s="26"/>
      <c r="I2" s="3"/>
      <c r="J2" s="26">
        <f>J4</f>
        <v>8.3472000000000005E-2</v>
      </c>
      <c r="K2" s="4">
        <f>K4+L4+M4+N4+O4</f>
        <v>8.3472000000000005E-2</v>
      </c>
      <c r="L2" s="64"/>
      <c r="M2" s="4"/>
      <c r="N2" s="65"/>
      <c r="O2" s="26"/>
      <c r="P2" s="4"/>
    </row>
    <row r="3" spans="1:26" ht="26.25" x14ac:dyDescent="0.4">
      <c r="A3" s="38"/>
      <c r="B3" s="70" t="s">
        <v>14</v>
      </c>
      <c r="C3" s="70" t="s">
        <v>56</v>
      </c>
      <c r="D3" s="70" t="s">
        <v>15</v>
      </c>
      <c r="E3" s="70" t="s">
        <v>8</v>
      </c>
      <c r="F3" s="70" t="s">
        <v>9</v>
      </c>
      <c r="G3" s="70" t="s">
        <v>57</v>
      </c>
      <c r="H3" s="70" t="s">
        <v>58</v>
      </c>
      <c r="I3" s="70" t="s">
        <v>77</v>
      </c>
      <c r="J3" s="70" t="s">
        <v>13</v>
      </c>
      <c r="K3" s="70" t="s">
        <v>16</v>
      </c>
      <c r="L3" s="70" t="s">
        <v>55</v>
      </c>
      <c r="M3" s="70" t="s">
        <v>44</v>
      </c>
      <c r="N3" s="70" t="s">
        <v>10</v>
      </c>
      <c r="O3" s="70" t="s">
        <v>12</v>
      </c>
      <c r="P3" s="71" t="s">
        <v>80</v>
      </c>
      <c r="Q3" s="71" t="s">
        <v>81</v>
      </c>
      <c r="R3" s="71" t="s">
        <v>82</v>
      </c>
      <c r="S3" s="71" t="s">
        <v>83</v>
      </c>
      <c r="T3" s="33" t="s">
        <v>45</v>
      </c>
      <c r="U3" s="33" t="s">
        <v>17</v>
      </c>
      <c r="V3" s="33" t="s">
        <v>84</v>
      </c>
      <c r="W3" s="33" t="s">
        <v>0</v>
      </c>
      <c r="X3" s="33" t="s">
        <v>11</v>
      </c>
      <c r="Y3" s="33" t="s">
        <v>10</v>
      </c>
      <c r="Z3" s="33" t="s">
        <v>46</v>
      </c>
    </row>
    <row r="4" spans="1:26" ht="23.25" x14ac:dyDescent="0.35">
      <c r="A4" s="38"/>
      <c r="B4" s="70">
        <f>100-C4-D4-E4-F4-G4-H4-I4-J4-K4-L4-M4-N4-O4</f>
        <v>76.96160347</v>
      </c>
      <c r="C4" s="71">
        <v>19.03171953</v>
      </c>
      <c r="D4" s="71">
        <v>3.8397329999999998</v>
      </c>
      <c r="E4" s="71"/>
      <c r="F4" s="71"/>
      <c r="G4" s="72"/>
      <c r="H4" s="72"/>
      <c r="I4" s="72"/>
      <c r="J4" s="71">
        <v>8.3472000000000005E-2</v>
      </c>
      <c r="K4" s="71">
        <v>8.3472000000000005E-2</v>
      </c>
      <c r="L4" s="72"/>
      <c r="M4" s="71"/>
      <c r="N4" s="72"/>
      <c r="O4" s="72"/>
      <c r="P4" s="71"/>
      <c r="Q4" s="71"/>
      <c r="R4" s="71"/>
      <c r="S4" s="71"/>
    </row>
    <row r="5" spans="1:26" ht="23.25" x14ac:dyDescent="0.35">
      <c r="A5" s="38"/>
      <c r="B5" s="70" t="s">
        <v>87</v>
      </c>
      <c r="C5" s="73">
        <f>B4/C4</f>
        <v>4.0438596916418517</v>
      </c>
      <c r="D5" s="73">
        <f>B4/D4</f>
        <v>20.043477885050862</v>
      </c>
      <c r="E5" s="73" t="e">
        <f>B4/E4</f>
        <v>#DIV/0!</v>
      </c>
      <c r="F5" s="73" t="e">
        <f>B4/F4</f>
        <v>#DIV/0!</v>
      </c>
      <c r="G5" s="74" t="e">
        <f>B4/G4</f>
        <v>#DIV/0!</v>
      </c>
      <c r="H5" s="74" t="e">
        <f>B4/H4</f>
        <v>#DIV/0!</v>
      </c>
      <c r="I5" s="74" t="e">
        <f>B4/I4</f>
        <v>#DIV/0!</v>
      </c>
      <c r="J5" s="75">
        <f>B4/J4</f>
        <v>922.00502527793742</v>
      </c>
      <c r="K5" s="75">
        <f>B4/K4</f>
        <v>922.00502527793742</v>
      </c>
      <c r="L5" s="75" t="e">
        <f>B4/L4</f>
        <v>#DIV/0!</v>
      </c>
      <c r="M5" s="75" t="e">
        <f>B4/M4</f>
        <v>#DIV/0!</v>
      </c>
      <c r="N5" s="75" t="e">
        <f>B4/N4</f>
        <v>#DIV/0!</v>
      </c>
      <c r="O5" s="75" t="e">
        <f>B4/O4</f>
        <v>#DIV/0!</v>
      </c>
      <c r="P5" s="71" t="e">
        <f>B4/P4</f>
        <v>#DIV/0!</v>
      </c>
      <c r="Q5" s="71"/>
      <c r="R5" s="71"/>
      <c r="S5" s="71"/>
    </row>
    <row r="6" spans="1:26" ht="23.25" x14ac:dyDescent="0.35">
      <c r="B6" s="71"/>
      <c r="C6" s="71">
        <f>599*B4/100/C5</f>
        <v>113.99999998469998</v>
      </c>
      <c r="D6" s="71">
        <f>599*B4/100/D5</f>
        <v>23.000000669999999</v>
      </c>
      <c r="E6" s="71" t="e">
        <f>599*B4/100/E5</f>
        <v>#DIV/0!</v>
      </c>
      <c r="F6" s="71" t="e">
        <f>599*B4/100/F5</f>
        <v>#DIV/0!</v>
      </c>
      <c r="G6" s="71" t="e">
        <f>599*B4/100/G5</f>
        <v>#DIV/0!</v>
      </c>
      <c r="H6" s="71" t="e">
        <f>599*B4/100/H5</f>
        <v>#DIV/0!</v>
      </c>
      <c r="I6" s="71" t="e">
        <f>599*B4/100/I5</f>
        <v>#DIV/0!</v>
      </c>
      <c r="J6" s="71">
        <f>599*B4/100/J5</f>
        <v>0.49999727999999999</v>
      </c>
      <c r="K6" s="71">
        <f>599*B4/100/K5</f>
        <v>0.49999727999999999</v>
      </c>
      <c r="L6" s="71" t="e">
        <f>599*B4/100/L5</f>
        <v>#DIV/0!</v>
      </c>
      <c r="M6" s="71" t="e">
        <f>599*B4/100/M5</f>
        <v>#DIV/0!</v>
      </c>
      <c r="N6" s="71" t="e">
        <f>599*B4/100/N5</f>
        <v>#DIV/0!</v>
      </c>
      <c r="O6" s="71" t="e">
        <f>599*B4/100/O5</f>
        <v>#DIV/0!</v>
      </c>
      <c r="P6" s="71" t="e">
        <f>599*N4/100/P5</f>
        <v>#DIV/0!</v>
      </c>
      <c r="Q6" s="71" t="e">
        <f>599*P4/100/Q5</f>
        <v>#DIV/0!</v>
      </c>
      <c r="R6" s="71"/>
      <c r="S6" s="71"/>
    </row>
    <row r="7" spans="1:26" ht="23.25" x14ac:dyDescent="0.35">
      <c r="A7" s="42"/>
      <c r="B7" s="71" t="s">
        <v>88</v>
      </c>
      <c r="C7" s="76">
        <f>C4+E4+F4</f>
        <v>19.03171953</v>
      </c>
      <c r="D7" s="77"/>
      <c r="E7" s="77" t="e">
        <f>C6+F6+E6</f>
        <v>#DIV/0!</v>
      </c>
      <c r="F7" s="77"/>
      <c r="G7" s="77">
        <v>104</v>
      </c>
      <c r="H7" s="77"/>
      <c r="I7" s="77"/>
      <c r="J7" s="77" t="e">
        <f>J6+O6</f>
        <v>#DIV/0!</v>
      </c>
      <c r="K7" s="77"/>
      <c r="L7" s="77"/>
      <c r="M7" s="77"/>
      <c r="N7" s="77"/>
      <c r="O7" s="77"/>
      <c r="P7" s="77"/>
      <c r="Q7" s="71"/>
      <c r="R7" s="71"/>
      <c r="S7" s="71"/>
    </row>
    <row r="8" spans="1:26" ht="23.25" x14ac:dyDescent="0.35">
      <c r="A8" s="45"/>
      <c r="B8" s="78" t="s">
        <v>89</v>
      </c>
      <c r="C8" s="79">
        <f>K4+M4</f>
        <v>8.3472000000000005E-2</v>
      </c>
      <c r="D8" s="71"/>
      <c r="E8" s="80" t="e">
        <f>K6+M6</f>
        <v>#DIV/0!</v>
      </c>
      <c r="F8" s="71"/>
      <c r="G8" s="71">
        <v>0.5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26" ht="23.25" x14ac:dyDescent="0.35">
      <c r="A9" s="42"/>
      <c r="B9" s="71" t="s">
        <v>13</v>
      </c>
      <c r="C9" s="71">
        <f>J4</f>
        <v>8.3472000000000005E-2</v>
      </c>
      <c r="D9" s="71"/>
      <c r="E9" s="71">
        <f>J6</f>
        <v>0.49999727999999999</v>
      </c>
      <c r="F9" s="71"/>
      <c r="G9" s="71">
        <v>0.5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26" ht="23.25" x14ac:dyDescent="0.35">
      <c r="B10" s="71" t="s">
        <v>15</v>
      </c>
      <c r="C10" s="89">
        <f>D4</f>
        <v>3.8397329999999998</v>
      </c>
      <c r="D10" s="89"/>
      <c r="E10" s="89">
        <f>D6</f>
        <v>23.000000669999999</v>
      </c>
      <c r="F10" s="89"/>
      <c r="G10" s="89">
        <v>23</v>
      </c>
      <c r="N10" s="71"/>
      <c r="O10" s="71"/>
      <c r="P10" s="71"/>
      <c r="Q10" s="71"/>
      <c r="R10" s="71"/>
      <c r="S10" s="71"/>
    </row>
    <row r="11" spans="1:26" ht="23.25" x14ac:dyDescent="0.35">
      <c r="C11" s="89"/>
      <c r="D11" s="89"/>
      <c r="E11" s="89" t="e">
        <f>E7+E8+E9+E10</f>
        <v>#DIV/0!</v>
      </c>
      <c r="F11" s="89"/>
      <c r="G11" s="89">
        <f>G7+G8+G9+G10</f>
        <v>128</v>
      </c>
      <c r="N11" s="71"/>
      <c r="O11" s="71"/>
      <c r="P11" s="71"/>
      <c r="Q11" s="71"/>
      <c r="R11" s="71"/>
      <c r="S11" s="71"/>
    </row>
    <row r="12" spans="1:26" ht="23.25" x14ac:dyDescent="0.35">
      <c r="N12" s="71"/>
      <c r="O12" s="71"/>
      <c r="P12" s="71"/>
      <c r="Q12" s="71"/>
      <c r="R12" s="71"/>
      <c r="S12" s="71"/>
    </row>
    <row r="13" spans="1:26" ht="23.25" x14ac:dyDescent="0.35">
      <c r="N13" s="71"/>
      <c r="O13" s="71"/>
      <c r="P13" s="71"/>
      <c r="Q13" s="71"/>
      <c r="R13" s="71"/>
      <c r="S13" s="71"/>
    </row>
    <row r="14" spans="1:26" ht="23.25" x14ac:dyDescent="0.35">
      <c r="N14" s="71"/>
      <c r="O14" s="71"/>
      <c r="P14" s="71"/>
      <c r="Q14" s="71"/>
      <c r="R14" s="71"/>
      <c r="S14" s="71"/>
    </row>
    <row r="15" spans="1:26" ht="23.25" x14ac:dyDescent="0.35">
      <c r="N15" s="71"/>
      <c r="O15" s="71"/>
      <c r="P15" s="71"/>
      <c r="Q15" s="71"/>
      <c r="R15" s="71"/>
      <c r="S15" s="71"/>
    </row>
    <row r="16" spans="1:26" ht="23.25" x14ac:dyDescent="0.35">
      <c r="A16" s="42"/>
      <c r="B16" s="71">
        <v>114</v>
      </c>
      <c r="C16" s="81">
        <f>B16*100/599</f>
        <v>19.031719532554256</v>
      </c>
      <c r="D16" s="71">
        <v>94.49</v>
      </c>
      <c r="E16" s="83"/>
      <c r="F16" s="71">
        <v>7</v>
      </c>
      <c r="G16" s="81">
        <f t="shared" ref="G16:G18" si="0">F16*100/599</f>
        <v>1.1686143572621035</v>
      </c>
      <c r="H16" s="71"/>
      <c r="I16" s="71" t="s">
        <v>72</v>
      </c>
      <c r="J16" s="84"/>
      <c r="K16" s="71" t="s">
        <v>73</v>
      </c>
      <c r="L16" s="71"/>
      <c r="M16" s="71"/>
      <c r="N16" s="71"/>
      <c r="O16" s="71"/>
      <c r="P16" s="71"/>
      <c r="Q16" s="71"/>
      <c r="R16" s="71"/>
      <c r="S16" s="71"/>
    </row>
    <row r="17" spans="1:19" ht="23.25" x14ac:dyDescent="0.35">
      <c r="A17" s="42"/>
      <c r="B17" s="71">
        <v>0.5</v>
      </c>
      <c r="C17" s="81">
        <f t="shared" ref="C17:C18" si="1">B17*100/599</f>
        <v>8.347245409015025E-2</v>
      </c>
      <c r="D17" s="71">
        <v>95.82</v>
      </c>
      <c r="E17" s="83"/>
      <c r="F17" s="71">
        <v>8</v>
      </c>
      <c r="G17" s="81">
        <f t="shared" si="0"/>
        <v>1.335559265442404</v>
      </c>
      <c r="H17" s="71"/>
      <c r="I17" s="85" t="s">
        <v>74</v>
      </c>
      <c r="J17" s="71"/>
      <c r="K17" s="86" t="s">
        <v>75</v>
      </c>
      <c r="L17" s="71"/>
      <c r="M17" s="77"/>
      <c r="N17" s="71"/>
      <c r="O17" s="71"/>
      <c r="P17" s="71"/>
      <c r="Q17" s="71"/>
      <c r="R17" s="71"/>
      <c r="S17" s="71"/>
    </row>
    <row r="18" spans="1:19" ht="23.25" x14ac:dyDescent="0.35">
      <c r="A18" s="42"/>
      <c r="B18" s="71">
        <v>23</v>
      </c>
      <c r="C18" s="81">
        <f t="shared" si="1"/>
        <v>3.8397328881469117</v>
      </c>
      <c r="D18" s="71">
        <v>89.48</v>
      </c>
      <c r="E18" s="83" t="s">
        <v>42</v>
      </c>
      <c r="F18" s="71">
        <v>9</v>
      </c>
      <c r="G18" s="81">
        <f t="shared" si="0"/>
        <v>1.5025041736227045</v>
      </c>
      <c r="H18" s="71"/>
      <c r="I18" s="71" t="s">
        <v>76</v>
      </c>
      <c r="J18" s="84"/>
      <c r="K18" s="71"/>
      <c r="L18" s="71"/>
      <c r="M18" s="71"/>
      <c r="N18" s="71"/>
      <c r="O18" s="71"/>
      <c r="P18" s="71"/>
      <c r="Q18" s="71"/>
      <c r="R18" s="71"/>
      <c r="S18" s="71"/>
    </row>
    <row r="19" spans="1:19" ht="23.25" x14ac:dyDescent="0.35">
      <c r="A19" s="29"/>
      <c r="B19" s="70"/>
      <c r="C19" s="71"/>
      <c r="D19" s="82"/>
      <c r="E19" s="71"/>
      <c r="F19" s="81"/>
      <c r="G19" s="71"/>
      <c r="H19" s="87"/>
      <c r="I19" s="78"/>
      <c r="J19" s="81"/>
      <c r="K19" s="75"/>
      <c r="L19" s="75"/>
      <c r="M19" s="75"/>
      <c r="N19" s="75"/>
      <c r="O19" s="75"/>
      <c r="P19" s="75"/>
      <c r="Q19" s="75"/>
      <c r="R19" s="71"/>
      <c r="S19" s="71"/>
    </row>
    <row r="20" spans="1:19" ht="23.25" x14ac:dyDescent="0.35">
      <c r="A20" s="2"/>
      <c r="B20" s="70"/>
      <c r="C20" s="70"/>
      <c r="D20" s="70"/>
      <c r="E20" s="88"/>
      <c r="F20" s="88"/>
      <c r="G20" s="70"/>
      <c r="H20" s="70"/>
      <c r="I20" s="70"/>
      <c r="J20" s="70"/>
      <c r="K20" s="70"/>
      <c r="L20" s="88"/>
      <c r="M20" s="70"/>
      <c r="N20" s="88"/>
      <c r="O20" s="70"/>
      <c r="P20" s="70"/>
      <c r="Q20" s="70"/>
      <c r="R20" s="71"/>
      <c r="S20" s="71"/>
    </row>
    <row r="21" spans="1:19" ht="23.25" x14ac:dyDescent="0.35">
      <c r="A21" s="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0"/>
      <c r="P21" s="70"/>
      <c r="Q21" s="70"/>
      <c r="R21" s="71"/>
      <c r="S21" s="71"/>
    </row>
    <row r="22" spans="1:19" ht="23.25" x14ac:dyDescent="0.35">
      <c r="A22" s="3"/>
      <c r="B22" s="73"/>
      <c r="C22" s="73"/>
      <c r="D22" s="73"/>
      <c r="E22" s="73"/>
      <c r="F22" s="74"/>
      <c r="G22" s="74"/>
      <c r="H22" s="74"/>
      <c r="I22" s="75"/>
      <c r="J22" s="75"/>
      <c r="K22" s="75"/>
      <c r="L22" s="75"/>
      <c r="M22" s="75"/>
      <c r="N22" s="75"/>
      <c r="O22" s="88"/>
      <c r="P22" s="70"/>
      <c r="Q22" s="70"/>
      <c r="R22" s="71"/>
      <c r="S22" s="71"/>
    </row>
    <row r="23" spans="1:19" ht="23.25" x14ac:dyDescent="0.35"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0"/>
      <c r="P23" s="70"/>
      <c r="Q23" s="70"/>
      <c r="R23" s="71"/>
      <c r="S23" s="71"/>
    </row>
    <row r="24" spans="1:19" ht="23.25" x14ac:dyDescent="0.35">
      <c r="B24" s="71" t="s">
        <v>6</v>
      </c>
      <c r="C24" s="71" t="s">
        <v>53</v>
      </c>
      <c r="D24" s="71" t="s">
        <v>52</v>
      </c>
      <c r="E24" s="71" t="s">
        <v>1</v>
      </c>
      <c r="F24" s="71" t="s">
        <v>47</v>
      </c>
      <c r="G24" s="71" t="s">
        <v>54</v>
      </c>
      <c r="H24" s="71" t="s">
        <v>4</v>
      </c>
      <c r="I24" s="71" t="s">
        <v>49</v>
      </c>
      <c r="J24" s="71" t="s">
        <v>2</v>
      </c>
      <c r="K24" s="71" t="s">
        <v>3</v>
      </c>
      <c r="L24" s="71" t="s">
        <v>48</v>
      </c>
      <c r="M24" s="71" t="s">
        <v>85</v>
      </c>
      <c r="N24" s="71" t="s">
        <v>5</v>
      </c>
      <c r="O24" s="71" t="s">
        <v>86</v>
      </c>
      <c r="P24" s="71"/>
      <c r="Q24" s="71"/>
      <c r="R24" s="71"/>
      <c r="S24" s="71"/>
    </row>
    <row r="25" spans="1:19" ht="23.25" x14ac:dyDescent="0.35">
      <c r="B25" s="71">
        <v>93.774999999999991</v>
      </c>
      <c r="C25" s="71"/>
      <c r="D25" s="71"/>
      <c r="E25" s="71"/>
      <c r="F25" s="71">
        <v>2.5000000000000001E-2</v>
      </c>
      <c r="G25" s="71">
        <v>3.85</v>
      </c>
      <c r="H25" s="71">
        <v>2.2000000000000002</v>
      </c>
      <c r="I25" s="71"/>
      <c r="J25" s="71">
        <v>0.01</v>
      </c>
      <c r="K25" s="71">
        <v>2.5000000000000001E-2</v>
      </c>
      <c r="L25" s="71">
        <v>7.0000000000000007E-2</v>
      </c>
      <c r="M25" s="71"/>
      <c r="N25" s="71">
        <v>4.4999999999999998E-2</v>
      </c>
      <c r="O25" s="71"/>
      <c r="P25" s="71"/>
      <c r="Q25" s="71"/>
      <c r="R25" s="71"/>
      <c r="S25" s="71"/>
    </row>
    <row r="26" spans="1:19" ht="23.25" x14ac:dyDescent="0.35">
      <c r="B26" s="71">
        <v>80.644157300439971</v>
      </c>
      <c r="C26" s="71">
        <v>0</v>
      </c>
      <c r="D26" s="71">
        <v>0</v>
      </c>
      <c r="E26" s="71">
        <v>0</v>
      </c>
      <c r="F26" s="71">
        <v>1.8894005743496499E-2</v>
      </c>
      <c r="G26" s="71">
        <v>15.393910844382363</v>
      </c>
      <c r="H26" s="71">
        <v>3.7616596401949636</v>
      </c>
      <c r="I26" s="71">
        <v>0</v>
      </c>
      <c r="J26" s="71">
        <v>8.1817260998195175E-3</v>
      </c>
      <c r="K26" s="71">
        <v>2.3091462299322321E-2</v>
      </c>
      <c r="L26" s="71">
        <v>6.1195527941688498E-2</v>
      </c>
      <c r="M26" s="71">
        <v>0</v>
      </c>
      <c r="N26" s="71">
        <v>8.8909492898382264E-2</v>
      </c>
      <c r="O26" s="71">
        <v>0</v>
      </c>
      <c r="P26" s="71"/>
      <c r="Q26" s="71"/>
      <c r="R26" s="71"/>
      <c r="S26" s="71"/>
    </row>
    <row r="27" spans="1:19" ht="23.25" x14ac:dyDescent="0.35"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</row>
    <row r="28" spans="1:19" ht="23.25" x14ac:dyDescent="0.35"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</row>
    <row r="29" spans="1:19" ht="23.25" x14ac:dyDescent="0.35"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</row>
  </sheetData>
  <pageMargins left="0.7" right="0.7" top="0.78740157499999996" bottom="0.78740157499999996" header="0.3" footer="0.3"/>
  <pageSetup paperSize="9" orientation="portrait" verticalDpi="597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BFDA0-E837-49A4-B05C-1FB95BE5A2F7}">
  <dimension ref="A1:Z29"/>
  <sheetViews>
    <sheetView workbookViewId="0">
      <selection activeCell="C4" sqref="C4:S4"/>
    </sheetView>
  </sheetViews>
  <sheetFormatPr baseColWidth="10" defaultRowHeight="15" x14ac:dyDescent="0.25"/>
  <cols>
    <col min="2" max="2" width="17.28515625" customWidth="1"/>
    <col min="3" max="3" width="23.140625" customWidth="1"/>
    <col min="4" max="4" width="11.5703125" bestFit="1" customWidth="1"/>
    <col min="5" max="5" width="13" bestFit="1" customWidth="1"/>
    <col min="6" max="8" width="11.5703125" bestFit="1" customWidth="1"/>
    <col min="9" max="9" width="13.5703125" customWidth="1"/>
    <col min="10" max="11" width="11.5703125" bestFit="1" customWidth="1"/>
    <col min="12" max="13" width="20.28515625" bestFit="1" customWidth="1"/>
    <col min="14" max="14" width="11.5703125" bestFit="1" customWidth="1"/>
    <col min="15" max="15" width="20.28515625" bestFit="1" customWidth="1"/>
    <col min="16" max="17" width="12.140625" bestFit="1" customWidth="1"/>
  </cols>
  <sheetData>
    <row r="1" spans="1:26" ht="18" x14ac:dyDescent="0.25">
      <c r="A1" s="34"/>
      <c r="B1" s="38"/>
      <c r="C1" s="3"/>
      <c r="D1" s="3"/>
      <c r="E1" s="39"/>
      <c r="F1" s="1"/>
      <c r="G1" s="40"/>
      <c r="H1" s="3"/>
      <c r="I1" s="3"/>
      <c r="J1" s="12"/>
      <c r="K1" s="39"/>
      <c r="L1" s="3"/>
      <c r="M1" s="3"/>
      <c r="N1" s="3"/>
      <c r="O1" s="3"/>
    </row>
    <row r="2" spans="1:26" ht="15.75" x14ac:dyDescent="0.25">
      <c r="B2" s="3">
        <f>C2+D2+E2+F2+G2+H2+I2+J2+K2+L2+M2+N2+O2</f>
        <v>23.37228635</v>
      </c>
      <c r="C2" s="64">
        <f>C4+D4+E4+F4+G4+H4+I4</f>
        <v>23.205342349999999</v>
      </c>
      <c r="D2" s="64"/>
      <c r="E2" s="3"/>
      <c r="F2" s="3"/>
      <c r="G2" s="3"/>
      <c r="H2" s="26"/>
      <c r="I2" s="3"/>
      <c r="J2" s="26">
        <f>J4</f>
        <v>8.3472000000000005E-2</v>
      </c>
      <c r="K2" s="4">
        <f>K4+L4+M4+N4+O4</f>
        <v>8.3472000000000005E-2</v>
      </c>
      <c r="L2" s="64"/>
      <c r="M2" s="4"/>
      <c r="N2" s="65"/>
      <c r="O2" s="26"/>
      <c r="P2" s="4"/>
    </row>
    <row r="3" spans="1:26" ht="26.25" x14ac:dyDescent="0.4">
      <c r="A3" s="38"/>
      <c r="B3" s="70" t="s">
        <v>14</v>
      </c>
      <c r="C3" s="70" t="s">
        <v>56</v>
      </c>
      <c r="D3" s="70" t="s">
        <v>15</v>
      </c>
      <c r="E3" s="70" t="s">
        <v>8</v>
      </c>
      <c r="F3" s="70" t="s">
        <v>9</v>
      </c>
      <c r="G3" s="70" t="s">
        <v>57</v>
      </c>
      <c r="H3" s="70" t="s">
        <v>58</v>
      </c>
      <c r="I3" s="70" t="s">
        <v>77</v>
      </c>
      <c r="J3" s="70" t="s">
        <v>13</v>
      </c>
      <c r="K3" s="70" t="s">
        <v>16</v>
      </c>
      <c r="L3" s="70" t="s">
        <v>55</v>
      </c>
      <c r="M3" s="70" t="s">
        <v>44</v>
      </c>
      <c r="N3" s="70" t="s">
        <v>10</v>
      </c>
      <c r="O3" s="70" t="s">
        <v>12</v>
      </c>
      <c r="P3" s="71" t="s">
        <v>80</v>
      </c>
      <c r="Q3" s="71" t="s">
        <v>81</v>
      </c>
      <c r="R3" s="71" t="s">
        <v>82</v>
      </c>
      <c r="S3" s="71" t="s">
        <v>83</v>
      </c>
      <c r="T3" s="33" t="s">
        <v>45</v>
      </c>
      <c r="U3" s="33" t="s">
        <v>17</v>
      </c>
      <c r="V3" s="33" t="s">
        <v>84</v>
      </c>
      <c r="W3" s="33" t="s">
        <v>0</v>
      </c>
      <c r="X3" s="33" t="s">
        <v>11</v>
      </c>
      <c r="Y3" s="33" t="s">
        <v>10</v>
      </c>
      <c r="Z3" s="33" t="s">
        <v>46</v>
      </c>
    </row>
    <row r="4" spans="1:26" ht="23.25" x14ac:dyDescent="0.35">
      <c r="A4" s="38"/>
      <c r="B4" s="70">
        <f>100-C4-D4-E4-F4-G4-H4-I4-J4-K4-L4-M4-N4-O4</f>
        <v>76.627713650000004</v>
      </c>
      <c r="C4" s="71">
        <v>19.36560935</v>
      </c>
      <c r="D4" s="71">
        <v>3.8397329999999998</v>
      </c>
      <c r="E4" s="71"/>
      <c r="F4" s="71"/>
      <c r="G4" s="72"/>
      <c r="H4" s="72"/>
      <c r="I4" s="72"/>
      <c r="J4" s="71">
        <v>8.3472000000000005E-2</v>
      </c>
      <c r="K4" s="71">
        <v>8.3472000000000005E-2</v>
      </c>
      <c r="L4" s="72"/>
      <c r="M4" s="71"/>
      <c r="N4" s="72"/>
      <c r="O4" s="72"/>
      <c r="P4" s="71"/>
      <c r="Q4" s="71"/>
      <c r="R4" s="71"/>
      <c r="S4" s="71"/>
    </row>
    <row r="5" spans="1:26" ht="23.25" x14ac:dyDescent="0.35">
      <c r="A5" s="38"/>
      <c r="B5" s="70" t="s">
        <v>87</v>
      </c>
      <c r="C5" s="73">
        <f>B4/C4</f>
        <v>3.9568965925670705</v>
      </c>
      <c r="D5" s="73">
        <f>B4/D4</f>
        <v>19.956521364896989</v>
      </c>
      <c r="E5" s="73" t="e">
        <f>B4/E4</f>
        <v>#DIV/0!</v>
      </c>
      <c r="F5" s="73" t="e">
        <f>B4/F4</f>
        <v>#DIV/0!</v>
      </c>
      <c r="G5" s="74" t="e">
        <f>B4/G4</f>
        <v>#DIV/0!</v>
      </c>
      <c r="H5" s="74" t="e">
        <f>B4/H4</f>
        <v>#DIV/0!</v>
      </c>
      <c r="I5" s="74" t="e">
        <f>B4/I4</f>
        <v>#DIV/0!</v>
      </c>
      <c r="J5" s="75">
        <f>B4/J4</f>
        <v>918.00500347421894</v>
      </c>
      <c r="K5" s="75">
        <f>B4/K4</f>
        <v>918.00500347421894</v>
      </c>
      <c r="L5" s="75" t="e">
        <f>B4/L4</f>
        <v>#DIV/0!</v>
      </c>
      <c r="M5" s="75" t="e">
        <f>B4/M4</f>
        <v>#DIV/0!</v>
      </c>
      <c r="N5" s="75" t="e">
        <f>B4/N4</f>
        <v>#DIV/0!</v>
      </c>
      <c r="O5" s="75" t="e">
        <f>B4/O4</f>
        <v>#DIV/0!</v>
      </c>
      <c r="P5" s="71" t="e">
        <f>B4/P4</f>
        <v>#DIV/0!</v>
      </c>
      <c r="Q5" s="71"/>
      <c r="R5" s="71"/>
      <c r="S5" s="71"/>
    </row>
    <row r="6" spans="1:26" ht="23.25" x14ac:dyDescent="0.35">
      <c r="B6" s="71"/>
      <c r="C6" s="71">
        <f>599*B4/100/C5</f>
        <v>116.00000000650002</v>
      </c>
      <c r="D6" s="71">
        <f>599*B4/100/D5</f>
        <v>23.000000669999999</v>
      </c>
      <c r="E6" s="71" t="e">
        <f>599*B4/100/E5</f>
        <v>#DIV/0!</v>
      </c>
      <c r="F6" s="71" t="e">
        <f>599*B4/100/F5</f>
        <v>#DIV/0!</v>
      </c>
      <c r="G6" s="71" t="e">
        <f>599*B4/100/G5</f>
        <v>#DIV/0!</v>
      </c>
      <c r="H6" s="71" t="e">
        <f>599*B4/100/H5</f>
        <v>#DIV/0!</v>
      </c>
      <c r="I6" s="71" t="e">
        <f>599*B4/100/I5</f>
        <v>#DIV/0!</v>
      </c>
      <c r="J6" s="71">
        <f>599*B4/100/J5</f>
        <v>0.49999728000000004</v>
      </c>
      <c r="K6" s="71">
        <f>599*B4/100/K5</f>
        <v>0.49999728000000004</v>
      </c>
      <c r="L6" s="71" t="e">
        <f>599*B4/100/L5</f>
        <v>#DIV/0!</v>
      </c>
      <c r="M6" s="71" t="e">
        <f>599*B4/100/M5</f>
        <v>#DIV/0!</v>
      </c>
      <c r="N6" s="71" t="e">
        <f>599*B4/100/N5</f>
        <v>#DIV/0!</v>
      </c>
      <c r="O6" s="71" t="e">
        <f>599*B4/100/O5</f>
        <v>#DIV/0!</v>
      </c>
      <c r="P6" s="71" t="e">
        <f>599*N4/100/P5</f>
        <v>#DIV/0!</v>
      </c>
      <c r="Q6" s="71" t="e">
        <f>599*P4/100/Q5</f>
        <v>#DIV/0!</v>
      </c>
      <c r="R6" s="71"/>
      <c r="S6" s="71"/>
    </row>
    <row r="7" spans="1:26" ht="23.25" x14ac:dyDescent="0.35">
      <c r="A7" s="42"/>
      <c r="B7" s="71" t="s">
        <v>88</v>
      </c>
      <c r="C7" s="76">
        <f>C4+E4+F4</f>
        <v>19.36560935</v>
      </c>
      <c r="D7" s="77"/>
      <c r="E7" s="77" t="e">
        <f>C6+F6+E6</f>
        <v>#DIV/0!</v>
      </c>
      <c r="F7" s="77"/>
      <c r="G7" s="77">
        <v>104</v>
      </c>
      <c r="H7" s="77"/>
      <c r="I7" s="77"/>
      <c r="J7" s="77" t="e">
        <f>J6+O6</f>
        <v>#DIV/0!</v>
      </c>
      <c r="K7" s="77"/>
      <c r="L7" s="77"/>
      <c r="M7" s="77"/>
      <c r="N7" s="77"/>
      <c r="O7" s="77"/>
      <c r="P7" s="77"/>
      <c r="Q7" s="71"/>
      <c r="R7" s="71"/>
      <c r="S7" s="71"/>
    </row>
    <row r="8" spans="1:26" ht="23.25" x14ac:dyDescent="0.35">
      <c r="A8" s="45"/>
      <c r="B8" s="78" t="s">
        <v>89</v>
      </c>
      <c r="C8" s="79">
        <f>K4+M4</f>
        <v>8.3472000000000005E-2</v>
      </c>
      <c r="D8" s="71"/>
      <c r="E8" s="80" t="e">
        <f>K6+M6</f>
        <v>#DIV/0!</v>
      </c>
      <c r="F8" s="71"/>
      <c r="G8" s="71">
        <v>0.5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26" ht="23.25" x14ac:dyDescent="0.35">
      <c r="A9" s="42"/>
      <c r="B9" s="71" t="s">
        <v>13</v>
      </c>
      <c r="C9" s="71">
        <f>J4</f>
        <v>8.3472000000000005E-2</v>
      </c>
      <c r="D9" s="71"/>
      <c r="E9" s="71">
        <f>J6</f>
        <v>0.49999728000000004</v>
      </c>
      <c r="F9" s="71"/>
      <c r="G9" s="71">
        <v>0.5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26" ht="23.25" x14ac:dyDescent="0.35">
      <c r="B10" s="71" t="s">
        <v>15</v>
      </c>
      <c r="C10" s="89">
        <f>D4</f>
        <v>3.8397329999999998</v>
      </c>
      <c r="D10" s="89"/>
      <c r="E10" s="89">
        <f>D6</f>
        <v>23.000000669999999</v>
      </c>
      <c r="F10" s="89"/>
      <c r="G10" s="89">
        <v>23</v>
      </c>
      <c r="N10" s="71"/>
      <c r="O10" s="71"/>
      <c r="P10" s="71"/>
      <c r="Q10" s="71"/>
      <c r="R10" s="71"/>
      <c r="S10" s="71"/>
    </row>
    <row r="11" spans="1:26" ht="23.25" x14ac:dyDescent="0.35">
      <c r="C11" s="89"/>
      <c r="D11" s="89"/>
      <c r="E11" s="89" t="e">
        <f>E7+E8+E9+E10</f>
        <v>#DIV/0!</v>
      </c>
      <c r="F11" s="89"/>
      <c r="G11" s="89">
        <f>G7+G8+G9+G10</f>
        <v>128</v>
      </c>
      <c r="N11" s="71"/>
      <c r="O11" s="71"/>
      <c r="P11" s="71"/>
      <c r="Q11" s="71"/>
      <c r="R11" s="71"/>
      <c r="S11" s="71"/>
    </row>
    <row r="12" spans="1:26" ht="23.25" x14ac:dyDescent="0.35">
      <c r="N12" s="71"/>
      <c r="O12" s="71"/>
      <c r="P12" s="71"/>
      <c r="Q12" s="71"/>
      <c r="R12" s="71"/>
      <c r="S12" s="71"/>
    </row>
    <row r="13" spans="1:26" ht="23.25" x14ac:dyDescent="0.35">
      <c r="N13" s="71"/>
      <c r="O13" s="71"/>
      <c r="P13" s="71"/>
      <c r="Q13" s="71"/>
      <c r="R13" s="71"/>
      <c r="S13" s="71"/>
    </row>
    <row r="14" spans="1:26" ht="23.25" x14ac:dyDescent="0.35">
      <c r="N14" s="71"/>
      <c r="O14" s="71"/>
      <c r="P14" s="71"/>
      <c r="Q14" s="71"/>
      <c r="R14" s="71"/>
      <c r="S14" s="71"/>
    </row>
    <row r="15" spans="1:26" ht="23.25" x14ac:dyDescent="0.35">
      <c r="N15" s="71"/>
      <c r="O15" s="71"/>
      <c r="P15" s="71"/>
      <c r="Q15" s="71"/>
      <c r="R15" s="71"/>
      <c r="S15" s="71"/>
    </row>
    <row r="16" spans="1:26" ht="23.25" x14ac:dyDescent="0.35">
      <c r="A16" s="42"/>
      <c r="B16" s="71">
        <v>116</v>
      </c>
      <c r="C16" s="81">
        <f>B16*100/599</f>
        <v>19.365609348914859</v>
      </c>
      <c r="D16" s="71">
        <v>94.49</v>
      </c>
      <c r="E16" s="83"/>
      <c r="F16" s="71">
        <v>7</v>
      </c>
      <c r="G16" s="81">
        <f t="shared" ref="G16:G18" si="0">F16*100/599</f>
        <v>1.1686143572621035</v>
      </c>
      <c r="H16" s="71"/>
      <c r="I16" s="71" t="s">
        <v>72</v>
      </c>
      <c r="J16" s="84"/>
      <c r="K16" s="71" t="s">
        <v>73</v>
      </c>
      <c r="L16" s="71"/>
      <c r="M16" s="71"/>
      <c r="N16" s="71"/>
      <c r="O16" s="71"/>
      <c r="P16" s="71"/>
      <c r="Q16" s="71"/>
      <c r="R16" s="71"/>
      <c r="S16" s="71"/>
    </row>
    <row r="17" spans="1:19" ht="23.25" x14ac:dyDescent="0.35">
      <c r="A17" s="42"/>
      <c r="B17" s="71">
        <v>0.5</v>
      </c>
      <c r="C17" s="81">
        <f t="shared" ref="C17:C18" si="1">B17*100/599</f>
        <v>8.347245409015025E-2</v>
      </c>
      <c r="D17" s="71">
        <v>95.82</v>
      </c>
      <c r="E17" s="83"/>
      <c r="F17" s="71">
        <v>8</v>
      </c>
      <c r="G17" s="81">
        <f t="shared" si="0"/>
        <v>1.335559265442404</v>
      </c>
      <c r="H17" s="71"/>
      <c r="I17" s="85" t="s">
        <v>74</v>
      </c>
      <c r="J17" s="71"/>
      <c r="K17" s="86" t="s">
        <v>75</v>
      </c>
      <c r="L17" s="71"/>
      <c r="M17" s="77"/>
      <c r="N17" s="71"/>
      <c r="O17" s="71"/>
      <c r="P17" s="71"/>
      <c r="Q17" s="71"/>
      <c r="R17" s="71"/>
      <c r="S17" s="71"/>
    </row>
    <row r="18" spans="1:19" ht="23.25" x14ac:dyDescent="0.35">
      <c r="A18" s="42"/>
      <c r="B18" s="71">
        <v>23</v>
      </c>
      <c r="C18" s="81">
        <f t="shared" si="1"/>
        <v>3.8397328881469117</v>
      </c>
      <c r="D18" s="71">
        <v>89.48</v>
      </c>
      <c r="E18" s="83" t="s">
        <v>42</v>
      </c>
      <c r="F18" s="71">
        <v>9</v>
      </c>
      <c r="G18" s="81">
        <f t="shared" si="0"/>
        <v>1.5025041736227045</v>
      </c>
      <c r="H18" s="71"/>
      <c r="I18" s="71" t="s">
        <v>76</v>
      </c>
      <c r="J18" s="84"/>
      <c r="K18" s="71"/>
      <c r="L18" s="71"/>
      <c r="M18" s="71"/>
      <c r="N18" s="71"/>
      <c r="O18" s="71"/>
      <c r="P18" s="71"/>
      <c r="Q18" s="71"/>
      <c r="R18" s="71"/>
      <c r="S18" s="71"/>
    </row>
    <row r="19" spans="1:19" ht="23.25" x14ac:dyDescent="0.35">
      <c r="A19" s="29"/>
      <c r="B19" s="70"/>
      <c r="C19" s="71"/>
      <c r="D19" s="82"/>
      <c r="E19" s="71"/>
      <c r="F19" s="81"/>
      <c r="G19" s="71"/>
      <c r="H19" s="87"/>
      <c r="I19" s="78"/>
      <c r="J19" s="81"/>
      <c r="K19" s="75"/>
      <c r="L19" s="75"/>
      <c r="M19" s="75"/>
      <c r="N19" s="75"/>
      <c r="O19" s="75"/>
      <c r="P19" s="75"/>
      <c r="Q19" s="75"/>
      <c r="R19" s="71"/>
      <c r="S19" s="71"/>
    </row>
    <row r="20" spans="1:19" ht="23.25" x14ac:dyDescent="0.35">
      <c r="A20" s="2"/>
      <c r="B20" s="70"/>
      <c r="C20" s="70"/>
      <c r="D20" s="70"/>
      <c r="E20" s="88"/>
      <c r="F20" s="88"/>
      <c r="G20" s="70"/>
      <c r="H20" s="70"/>
      <c r="I20" s="70"/>
      <c r="J20" s="70"/>
      <c r="K20" s="70"/>
      <c r="L20" s="88"/>
      <c r="M20" s="70"/>
      <c r="N20" s="88"/>
      <c r="O20" s="70"/>
      <c r="P20" s="70"/>
      <c r="Q20" s="70"/>
      <c r="R20" s="71"/>
      <c r="S20" s="71"/>
    </row>
    <row r="21" spans="1:19" ht="23.25" x14ac:dyDescent="0.35">
      <c r="A21" s="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0"/>
      <c r="P21" s="70"/>
      <c r="Q21" s="70"/>
      <c r="R21" s="71"/>
      <c r="S21" s="71"/>
    </row>
    <row r="22" spans="1:19" ht="23.25" x14ac:dyDescent="0.35">
      <c r="A22" s="3"/>
      <c r="B22" s="73"/>
      <c r="C22" s="73"/>
      <c r="D22" s="73"/>
      <c r="E22" s="73"/>
      <c r="F22" s="74"/>
      <c r="G22" s="74"/>
      <c r="H22" s="74"/>
      <c r="I22" s="75"/>
      <c r="J22" s="75"/>
      <c r="K22" s="75"/>
      <c r="L22" s="75"/>
      <c r="M22" s="75"/>
      <c r="N22" s="75"/>
      <c r="O22" s="88"/>
      <c r="P22" s="70"/>
      <c r="Q22" s="70"/>
      <c r="R22" s="71"/>
      <c r="S22" s="71"/>
    </row>
    <row r="23" spans="1:19" ht="23.25" x14ac:dyDescent="0.35"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0"/>
      <c r="P23" s="70"/>
      <c r="Q23" s="70"/>
      <c r="R23" s="71"/>
      <c r="S23" s="71"/>
    </row>
    <row r="24" spans="1:19" ht="23.25" x14ac:dyDescent="0.35">
      <c r="B24" s="71" t="s">
        <v>6</v>
      </c>
      <c r="C24" s="71" t="s">
        <v>53</v>
      </c>
      <c r="D24" s="71" t="s">
        <v>52</v>
      </c>
      <c r="E24" s="71" t="s">
        <v>1</v>
      </c>
      <c r="F24" s="71" t="s">
        <v>47</v>
      </c>
      <c r="G24" s="71" t="s">
        <v>54</v>
      </c>
      <c r="H24" s="71" t="s">
        <v>4</v>
      </c>
      <c r="I24" s="71" t="s">
        <v>49</v>
      </c>
      <c r="J24" s="71" t="s">
        <v>2</v>
      </c>
      <c r="K24" s="71" t="s">
        <v>3</v>
      </c>
      <c r="L24" s="71" t="s">
        <v>48</v>
      </c>
      <c r="M24" s="71" t="s">
        <v>85</v>
      </c>
      <c r="N24" s="71" t="s">
        <v>5</v>
      </c>
      <c r="O24" s="71" t="s">
        <v>86</v>
      </c>
      <c r="P24" s="71"/>
      <c r="Q24" s="71"/>
      <c r="R24" s="71"/>
      <c r="S24" s="71"/>
    </row>
    <row r="25" spans="1:19" ht="23.25" x14ac:dyDescent="0.35">
      <c r="B25" s="71">
        <v>93.774999999999991</v>
      </c>
      <c r="C25" s="71"/>
      <c r="D25" s="71"/>
      <c r="E25" s="71"/>
      <c r="F25" s="71">
        <v>2.5000000000000001E-2</v>
      </c>
      <c r="G25" s="71">
        <v>3.85</v>
      </c>
      <c r="H25" s="71">
        <v>2.2000000000000002</v>
      </c>
      <c r="I25" s="71"/>
      <c r="J25" s="71">
        <v>0.01</v>
      </c>
      <c r="K25" s="71">
        <v>2.5000000000000001E-2</v>
      </c>
      <c r="L25" s="71">
        <v>7.0000000000000007E-2</v>
      </c>
      <c r="M25" s="71"/>
      <c r="N25" s="71">
        <v>4.4999999999999998E-2</v>
      </c>
      <c r="O25" s="71"/>
      <c r="P25" s="71"/>
      <c r="Q25" s="71"/>
      <c r="R25" s="71"/>
      <c r="S25" s="71"/>
    </row>
    <row r="26" spans="1:19" ht="23.25" x14ac:dyDescent="0.35">
      <c r="B26" s="71">
        <v>80.644157300439971</v>
      </c>
      <c r="C26" s="71">
        <v>0</v>
      </c>
      <c r="D26" s="71">
        <v>0</v>
      </c>
      <c r="E26" s="71">
        <v>0</v>
      </c>
      <c r="F26" s="71">
        <v>1.8894005743496499E-2</v>
      </c>
      <c r="G26" s="71">
        <v>15.393910844382363</v>
      </c>
      <c r="H26" s="71">
        <v>3.7616596401949636</v>
      </c>
      <c r="I26" s="71">
        <v>0</v>
      </c>
      <c r="J26" s="71">
        <v>8.1817260998195175E-3</v>
      </c>
      <c r="K26" s="71">
        <v>2.3091462299322321E-2</v>
      </c>
      <c r="L26" s="71">
        <v>6.1195527941688498E-2</v>
      </c>
      <c r="M26" s="71">
        <v>0</v>
      </c>
      <c r="N26" s="71">
        <v>8.8909492898382264E-2</v>
      </c>
      <c r="O26" s="71">
        <v>0</v>
      </c>
      <c r="P26" s="71"/>
      <c r="Q26" s="71"/>
      <c r="R26" s="71"/>
      <c r="S26" s="71"/>
    </row>
    <row r="27" spans="1:19" ht="23.25" x14ac:dyDescent="0.35"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</row>
    <row r="28" spans="1:19" ht="23.25" x14ac:dyDescent="0.35"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</row>
    <row r="29" spans="1:19" ht="23.25" x14ac:dyDescent="0.35"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</row>
  </sheetData>
  <pageMargins left="0.7" right="0.7" top="0.78740157499999996" bottom="0.78740157499999996" header="0.3" footer="0.3"/>
  <pageSetup paperSize="9" orientation="portrait" verticalDpi="597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08ED-0D6A-4B73-AD79-AA5D0E1A1EF8}">
  <dimension ref="A1:Z29"/>
  <sheetViews>
    <sheetView workbookViewId="0">
      <selection activeCell="C1" sqref="C1"/>
    </sheetView>
  </sheetViews>
  <sheetFormatPr baseColWidth="10" defaultRowHeight="15" x14ac:dyDescent="0.25"/>
  <cols>
    <col min="2" max="2" width="19.140625" customWidth="1"/>
    <col min="3" max="3" width="16.5703125" customWidth="1"/>
    <col min="4" max="4" width="11.5703125" bestFit="1" customWidth="1"/>
    <col min="5" max="5" width="13" bestFit="1" customWidth="1"/>
    <col min="6" max="8" width="11.5703125" bestFit="1" customWidth="1"/>
    <col min="9" max="9" width="13.5703125" customWidth="1"/>
    <col min="10" max="11" width="11.5703125" bestFit="1" customWidth="1"/>
    <col min="12" max="13" width="20.28515625" bestFit="1" customWidth="1"/>
    <col min="14" max="14" width="11.5703125" bestFit="1" customWidth="1"/>
    <col min="15" max="15" width="20.28515625" bestFit="1" customWidth="1"/>
    <col min="16" max="17" width="12.140625" bestFit="1" customWidth="1"/>
  </cols>
  <sheetData>
    <row r="1" spans="1:26" ht="18" x14ac:dyDescent="0.25">
      <c r="A1" s="34"/>
      <c r="B1" s="38"/>
      <c r="C1" s="3"/>
      <c r="D1" s="3"/>
      <c r="E1" s="39"/>
      <c r="F1" s="1"/>
      <c r="G1" s="40"/>
      <c r="H1" s="3"/>
      <c r="I1" s="3"/>
      <c r="J1" s="12"/>
      <c r="K1" s="39"/>
      <c r="L1" s="3"/>
      <c r="M1" s="3"/>
      <c r="N1" s="3"/>
      <c r="O1" s="3"/>
    </row>
    <row r="2" spans="1:26" ht="15.75" x14ac:dyDescent="0.25">
      <c r="B2" s="3">
        <f>C2+D2+E2+F2+G2+H2+I2+J2+K2+L2+M2+N2+O2</f>
        <v>19.355842699560036</v>
      </c>
      <c r="C2" s="64">
        <f>C4+D4+E4+F4+G4+H4+I4</f>
        <v>19.182646216420643</v>
      </c>
      <c r="D2" s="64"/>
      <c r="E2" s="3"/>
      <c r="F2" s="3"/>
      <c r="G2" s="3"/>
      <c r="H2" s="26"/>
      <c r="I2" s="3"/>
      <c r="J2" s="26">
        <f>J4</f>
        <v>8.8909492898382264E-2</v>
      </c>
      <c r="K2" s="4">
        <f>K4+L4+M4+N4+O4</f>
        <v>8.4286990241010815E-2</v>
      </c>
      <c r="L2" s="64"/>
      <c r="M2" s="4"/>
      <c r="N2" s="65"/>
      <c r="O2" s="26"/>
      <c r="P2" s="4"/>
    </row>
    <row r="3" spans="1:26" ht="26.25" x14ac:dyDescent="0.4">
      <c r="A3" s="38"/>
      <c r="B3" s="70" t="s">
        <v>14</v>
      </c>
      <c r="C3" s="70" t="s">
        <v>56</v>
      </c>
      <c r="D3" s="70" t="s">
        <v>15</v>
      </c>
      <c r="E3" s="70" t="s">
        <v>8</v>
      </c>
      <c r="F3" s="70" t="s">
        <v>9</v>
      </c>
      <c r="G3" s="70" t="s">
        <v>57</v>
      </c>
      <c r="H3" s="70" t="s">
        <v>58</v>
      </c>
      <c r="I3" s="70" t="s">
        <v>77</v>
      </c>
      <c r="J3" s="70" t="s">
        <v>13</v>
      </c>
      <c r="K3" s="70" t="s">
        <v>16</v>
      </c>
      <c r="L3" s="70" t="s">
        <v>55</v>
      </c>
      <c r="M3" s="70" t="s">
        <v>44</v>
      </c>
      <c r="N3" s="70" t="s">
        <v>10</v>
      </c>
      <c r="O3" s="70" t="s">
        <v>12</v>
      </c>
      <c r="P3" s="71" t="s">
        <v>80</v>
      </c>
      <c r="Q3" s="71" t="s">
        <v>81</v>
      </c>
      <c r="R3" s="71" t="s">
        <v>82</v>
      </c>
      <c r="S3" s="71" t="s">
        <v>83</v>
      </c>
      <c r="T3" s="33" t="s">
        <v>45</v>
      </c>
      <c r="U3" s="33" t="s">
        <v>17</v>
      </c>
      <c r="V3" s="33" t="s">
        <v>84</v>
      </c>
      <c r="W3" s="33" t="s">
        <v>0</v>
      </c>
      <c r="X3" s="33" t="s">
        <v>11</v>
      </c>
      <c r="Y3" s="33" t="s">
        <v>10</v>
      </c>
      <c r="Z3" s="33" t="s">
        <v>46</v>
      </c>
    </row>
    <row r="4" spans="1:26" ht="23.25" x14ac:dyDescent="0.35">
      <c r="A4" s="38"/>
      <c r="B4" s="70">
        <f>100-C4-D4-E4-F4-G4-H4-I4-J4-K4-L4-M4-N4-O4</f>
        <v>80.644157300439971</v>
      </c>
      <c r="C4" s="71">
        <v>15.393910844382363</v>
      </c>
      <c r="D4" s="71">
        <v>3.7616596401949636</v>
      </c>
      <c r="E4" s="71">
        <v>8.1817260998195175E-3</v>
      </c>
      <c r="F4" s="71">
        <v>1.8894005743496499E-2</v>
      </c>
      <c r="G4" s="72"/>
      <c r="H4" s="72"/>
      <c r="I4" s="72"/>
      <c r="J4" s="71">
        <v>8.8909492898382264E-2</v>
      </c>
      <c r="K4" s="71">
        <v>6.1195527941688498E-2</v>
      </c>
      <c r="L4" s="72"/>
      <c r="M4" s="71">
        <v>2.3091462299322321E-2</v>
      </c>
      <c r="N4" s="72"/>
      <c r="O4" s="72"/>
      <c r="P4" s="71"/>
      <c r="Q4" s="71"/>
      <c r="R4" s="71"/>
      <c r="S4" s="71"/>
    </row>
    <row r="5" spans="1:26" ht="23.25" x14ac:dyDescent="0.35">
      <c r="A5" s="38"/>
      <c r="B5" s="70" t="s">
        <v>87</v>
      </c>
      <c r="C5" s="73">
        <f>B4/C4</f>
        <v>5.238704973393367</v>
      </c>
      <c r="D5" s="73">
        <f>B4/D4</f>
        <v>21.438451378939817</v>
      </c>
      <c r="E5" s="73">
        <f>B4/E4</f>
        <v>9856.619045487103</v>
      </c>
      <c r="F5" s="73">
        <f>B4/F4</f>
        <v>4268.2403295128925</v>
      </c>
      <c r="G5" s="74" t="e">
        <f>B4/G4</f>
        <v>#DIV/0!</v>
      </c>
      <c r="H5" s="74" t="e">
        <f>B4/H4</f>
        <v>#DIV/0!</v>
      </c>
      <c r="I5" s="74" t="e">
        <f>B4/I4</f>
        <v>#DIV/0!</v>
      </c>
      <c r="J5" s="75">
        <f>B4/J4</f>
        <v>907.03652300222848</v>
      </c>
      <c r="K5" s="75">
        <f>B4/K4</f>
        <v>1317.8112847932864</v>
      </c>
      <c r="L5" s="75" t="e">
        <f>B4/L4</f>
        <v>#DIV/0!</v>
      </c>
      <c r="M5" s="75">
        <f>B4/M4</f>
        <v>3492.3798352435515</v>
      </c>
      <c r="N5" s="75" t="e">
        <f>B4/N4</f>
        <v>#DIV/0!</v>
      </c>
      <c r="O5" s="75" t="e">
        <f>B4/O4</f>
        <v>#DIV/0!</v>
      </c>
      <c r="P5" s="71" t="e">
        <f>B4/P4</f>
        <v>#DIV/0!</v>
      </c>
      <c r="Q5" s="71"/>
      <c r="R5" s="71"/>
      <c r="S5" s="71"/>
    </row>
    <row r="6" spans="1:26" ht="23.25" x14ac:dyDescent="0.35">
      <c r="B6" s="71"/>
      <c r="C6" s="71">
        <f>599*B4/100/C5</f>
        <v>92.209525957850346</v>
      </c>
      <c r="D6" s="71">
        <f>599*B4/100/D5</f>
        <v>22.532341244767832</v>
      </c>
      <c r="E6" s="71">
        <f>599*B4/100/E5</f>
        <v>4.9008539337918905E-2</v>
      </c>
      <c r="F6" s="71">
        <f>599*B4/100/F5</f>
        <v>0.11317509440354401</v>
      </c>
      <c r="G6" s="71" t="e">
        <f>599*B4/100/G5</f>
        <v>#DIV/0!</v>
      </c>
      <c r="H6" s="71" t="e">
        <f>599*B4/100/H5</f>
        <v>#DIV/0!</v>
      </c>
      <c r="I6" s="71" t="e">
        <f>599*B4/100/I5</f>
        <v>#DIV/0!</v>
      </c>
      <c r="J6" s="71">
        <f>599*B4/100/J5</f>
        <v>0.53256786246130972</v>
      </c>
      <c r="K6" s="71">
        <f>599*B4/100/K5</f>
        <v>0.36656121237071404</v>
      </c>
      <c r="L6" s="71" t="e">
        <f>599*B4/100/L5</f>
        <v>#DIV/0!</v>
      </c>
      <c r="M6" s="71">
        <f>599*B4/100/M5</f>
        <v>0.1383178591729407</v>
      </c>
      <c r="N6" s="71" t="e">
        <f>599*B4/100/N5</f>
        <v>#DIV/0!</v>
      </c>
      <c r="O6" s="71" t="e">
        <f>599*B4/100/O5</f>
        <v>#DIV/0!</v>
      </c>
      <c r="P6" s="71" t="e">
        <f>599*N4/100/P5</f>
        <v>#DIV/0!</v>
      </c>
      <c r="Q6" s="71" t="e">
        <f>599*P4/100/Q5</f>
        <v>#DIV/0!</v>
      </c>
      <c r="R6" s="71"/>
      <c r="S6" s="71"/>
    </row>
    <row r="7" spans="1:26" ht="23.25" x14ac:dyDescent="0.35">
      <c r="A7" s="42"/>
      <c r="B7" s="71" t="s">
        <v>88</v>
      </c>
      <c r="C7" s="76">
        <f>C4+E4+F4</f>
        <v>15.420986576225678</v>
      </c>
      <c r="D7" s="77"/>
      <c r="E7" s="77">
        <f>C6+F6+E6</f>
        <v>92.371709591591809</v>
      </c>
      <c r="F7" s="77"/>
      <c r="G7" s="77">
        <v>92</v>
      </c>
      <c r="H7" s="77"/>
      <c r="I7" s="77"/>
      <c r="J7" s="77" t="e">
        <f>J6+O6</f>
        <v>#DIV/0!</v>
      </c>
      <c r="K7" s="77"/>
      <c r="L7" s="77"/>
      <c r="M7" s="77"/>
      <c r="N7" s="77"/>
      <c r="O7" s="77"/>
      <c r="P7" s="77"/>
      <c r="Q7" s="71"/>
      <c r="R7" s="71"/>
      <c r="S7" s="71"/>
    </row>
    <row r="8" spans="1:26" ht="23.25" x14ac:dyDescent="0.35">
      <c r="A8" s="45"/>
      <c r="B8" s="78" t="s">
        <v>89</v>
      </c>
      <c r="C8" s="79">
        <f>K4+M4</f>
        <v>8.4286990241010815E-2</v>
      </c>
      <c r="D8" s="71"/>
      <c r="E8" s="80">
        <f>K6+M6</f>
        <v>0.50487907154365474</v>
      </c>
      <c r="F8" s="71"/>
      <c r="G8" s="71">
        <v>0.5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26" ht="23.25" x14ac:dyDescent="0.35">
      <c r="A9" s="42"/>
      <c r="B9" s="71" t="s">
        <v>13</v>
      </c>
      <c r="C9" s="71">
        <f>J4</f>
        <v>8.8909492898382264E-2</v>
      </c>
      <c r="D9" s="71"/>
      <c r="E9" s="71">
        <f>J6</f>
        <v>0.53256786246130972</v>
      </c>
      <c r="F9" s="71"/>
      <c r="G9" s="71">
        <v>0.5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26" ht="23.25" x14ac:dyDescent="0.35">
      <c r="B10" s="71" t="s">
        <v>15</v>
      </c>
      <c r="C10" s="89">
        <f>D4</f>
        <v>3.7616596401949636</v>
      </c>
      <c r="D10" s="89"/>
      <c r="E10" s="89">
        <f>D6</f>
        <v>22.532341244767832</v>
      </c>
      <c r="F10" s="89"/>
      <c r="G10" s="89">
        <v>23</v>
      </c>
      <c r="N10" s="71"/>
      <c r="O10" s="71"/>
      <c r="P10" s="71"/>
      <c r="Q10" s="71"/>
      <c r="R10" s="71"/>
      <c r="S10" s="71"/>
    </row>
    <row r="11" spans="1:26" ht="23.25" x14ac:dyDescent="0.35">
      <c r="C11" s="89"/>
      <c r="D11" s="89"/>
      <c r="E11" s="89">
        <f>E7+E8+E9+E10</f>
        <v>115.94149777036461</v>
      </c>
      <c r="F11" s="89"/>
      <c r="G11" s="89">
        <f>G7+G8+G9+G10</f>
        <v>116</v>
      </c>
      <c r="N11" s="71"/>
      <c r="O11" s="71"/>
      <c r="P11" s="71"/>
      <c r="Q11" s="71"/>
      <c r="R11" s="71"/>
      <c r="S11" s="71"/>
    </row>
    <row r="12" spans="1:26" ht="23.25" x14ac:dyDescent="0.35">
      <c r="N12" s="71"/>
      <c r="O12" s="71"/>
      <c r="P12" s="71"/>
      <c r="Q12" s="71"/>
      <c r="R12" s="71"/>
      <c r="S12" s="71"/>
    </row>
    <row r="13" spans="1:26" ht="23.25" x14ac:dyDescent="0.35">
      <c r="N13" s="71"/>
      <c r="O13" s="71"/>
      <c r="P13" s="71"/>
      <c r="Q13" s="71"/>
      <c r="R13" s="71"/>
      <c r="S13" s="71"/>
    </row>
    <row r="14" spans="1:26" ht="23.25" x14ac:dyDescent="0.35">
      <c r="N14" s="71"/>
      <c r="O14" s="71"/>
      <c r="P14" s="71"/>
      <c r="Q14" s="71"/>
      <c r="R14" s="71"/>
      <c r="S14" s="71"/>
    </row>
    <row r="15" spans="1:26" ht="23.25" x14ac:dyDescent="0.35">
      <c r="N15" s="71"/>
      <c r="O15" s="71"/>
      <c r="P15" s="71"/>
      <c r="Q15" s="71"/>
      <c r="R15" s="71"/>
      <c r="S15" s="71"/>
    </row>
    <row r="16" spans="1:26" ht="23.25" x14ac:dyDescent="0.35">
      <c r="A16" s="42"/>
      <c r="B16" s="71">
        <v>92</v>
      </c>
      <c r="C16" s="81">
        <f t="shared" ref="C16:C18" si="0">B16*100/599</f>
        <v>15.358931552587647</v>
      </c>
      <c r="D16" s="71">
        <v>94.49</v>
      </c>
      <c r="E16" s="83"/>
      <c r="F16" s="71">
        <v>7</v>
      </c>
      <c r="G16" s="81">
        <f t="shared" ref="G16:G18" si="1">F16*100/599</f>
        <v>1.1686143572621035</v>
      </c>
      <c r="H16" s="71"/>
      <c r="I16" s="71" t="s">
        <v>72</v>
      </c>
      <c r="J16" s="84"/>
      <c r="K16" s="71" t="s">
        <v>73</v>
      </c>
      <c r="L16" s="71"/>
      <c r="M16" s="71"/>
      <c r="N16" s="71"/>
      <c r="O16" s="71"/>
      <c r="P16" s="71"/>
      <c r="Q16" s="71"/>
      <c r="R16" s="71"/>
      <c r="S16" s="71"/>
    </row>
    <row r="17" spans="1:19" ht="23.25" x14ac:dyDescent="0.35">
      <c r="A17" s="42"/>
      <c r="B17" s="71">
        <v>12</v>
      </c>
      <c r="C17" s="81">
        <f t="shared" si="0"/>
        <v>2.003338898163606</v>
      </c>
      <c r="D17" s="71">
        <v>95.82</v>
      </c>
      <c r="E17" s="83"/>
      <c r="F17" s="71">
        <v>8</v>
      </c>
      <c r="G17" s="81">
        <f t="shared" si="1"/>
        <v>1.335559265442404</v>
      </c>
      <c r="H17" s="71"/>
      <c r="I17" s="85" t="s">
        <v>74</v>
      </c>
      <c r="J17" s="71"/>
      <c r="K17" s="86" t="s">
        <v>75</v>
      </c>
      <c r="L17" s="71"/>
      <c r="M17" s="77"/>
      <c r="N17" s="71"/>
      <c r="O17" s="71"/>
      <c r="P17" s="71"/>
      <c r="Q17" s="71"/>
      <c r="R17" s="71"/>
      <c r="S17" s="71"/>
    </row>
    <row r="18" spans="1:19" ht="23.25" x14ac:dyDescent="0.35">
      <c r="A18" s="42"/>
      <c r="B18" s="71">
        <v>50</v>
      </c>
      <c r="C18" s="81">
        <f t="shared" si="0"/>
        <v>8.3472454090150254</v>
      </c>
      <c r="D18" s="71">
        <v>89.48</v>
      </c>
      <c r="E18" s="83" t="s">
        <v>42</v>
      </c>
      <c r="F18" s="71">
        <v>9</v>
      </c>
      <c r="G18" s="81">
        <f t="shared" si="1"/>
        <v>1.5025041736227045</v>
      </c>
      <c r="H18" s="71"/>
      <c r="I18" s="71" t="s">
        <v>76</v>
      </c>
      <c r="J18" s="84"/>
      <c r="K18" s="71"/>
      <c r="L18" s="71"/>
      <c r="M18" s="71"/>
      <c r="N18" s="71"/>
      <c r="O18" s="71"/>
      <c r="P18" s="71"/>
      <c r="Q18" s="71"/>
      <c r="R18" s="71"/>
      <c r="S18" s="71"/>
    </row>
    <row r="19" spans="1:19" ht="23.25" x14ac:dyDescent="0.35">
      <c r="A19" s="29"/>
      <c r="B19" s="70"/>
      <c r="C19" s="71"/>
      <c r="D19" s="82"/>
      <c r="E19" s="71"/>
      <c r="F19" s="81"/>
      <c r="G19" s="71"/>
      <c r="H19" s="87"/>
      <c r="I19" s="78"/>
      <c r="J19" s="81"/>
      <c r="K19" s="75"/>
      <c r="L19" s="75"/>
      <c r="M19" s="75"/>
      <c r="N19" s="75"/>
      <c r="O19" s="75"/>
      <c r="P19" s="75"/>
      <c r="Q19" s="75"/>
      <c r="R19" s="71"/>
      <c r="S19" s="71"/>
    </row>
    <row r="20" spans="1:19" ht="23.25" x14ac:dyDescent="0.35">
      <c r="A20" s="2"/>
      <c r="B20" s="70"/>
      <c r="C20" s="70"/>
      <c r="D20" s="70"/>
      <c r="E20" s="88"/>
      <c r="F20" s="88"/>
      <c r="G20" s="70"/>
      <c r="H20" s="70"/>
      <c r="I20" s="70"/>
      <c r="J20" s="70"/>
      <c r="K20" s="70"/>
      <c r="L20" s="88"/>
      <c r="M20" s="70"/>
      <c r="N20" s="88"/>
      <c r="O20" s="70"/>
      <c r="P20" s="70"/>
      <c r="Q20" s="70"/>
      <c r="R20" s="71"/>
      <c r="S20" s="71"/>
    </row>
    <row r="21" spans="1:19" ht="23.25" x14ac:dyDescent="0.35">
      <c r="A21" s="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0"/>
      <c r="P21" s="70"/>
      <c r="Q21" s="70"/>
      <c r="R21" s="71"/>
      <c r="S21" s="71"/>
    </row>
    <row r="22" spans="1:19" ht="23.25" x14ac:dyDescent="0.35">
      <c r="A22" s="3"/>
      <c r="B22" s="73"/>
      <c r="C22" s="73"/>
      <c r="D22" s="73"/>
      <c r="E22" s="73"/>
      <c r="F22" s="74"/>
      <c r="G22" s="74"/>
      <c r="H22" s="74"/>
      <c r="I22" s="75"/>
      <c r="J22" s="75"/>
      <c r="K22" s="75"/>
      <c r="L22" s="75"/>
      <c r="M22" s="75"/>
      <c r="N22" s="75"/>
      <c r="O22" s="88"/>
      <c r="P22" s="70"/>
      <c r="Q22" s="70"/>
      <c r="R22" s="71"/>
      <c r="S22" s="71"/>
    </row>
    <row r="23" spans="1:19" ht="23.25" x14ac:dyDescent="0.35"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0"/>
      <c r="P23" s="70"/>
      <c r="Q23" s="70"/>
      <c r="R23" s="71"/>
      <c r="S23" s="71"/>
    </row>
    <row r="24" spans="1:19" ht="23.25" x14ac:dyDescent="0.35">
      <c r="B24" s="71" t="s">
        <v>6</v>
      </c>
      <c r="C24" s="71" t="s">
        <v>53</v>
      </c>
      <c r="D24" s="71" t="s">
        <v>52</v>
      </c>
      <c r="E24" s="71" t="s">
        <v>1</v>
      </c>
      <c r="F24" s="71" t="s">
        <v>47</v>
      </c>
      <c r="G24" s="71" t="s">
        <v>54</v>
      </c>
      <c r="H24" s="71" t="s">
        <v>4</v>
      </c>
      <c r="I24" s="71" t="s">
        <v>49</v>
      </c>
      <c r="J24" s="71" t="s">
        <v>2</v>
      </c>
      <c r="K24" s="71" t="s">
        <v>3</v>
      </c>
      <c r="L24" s="71" t="s">
        <v>48</v>
      </c>
      <c r="M24" s="71" t="s">
        <v>85</v>
      </c>
      <c r="N24" s="71" t="s">
        <v>5</v>
      </c>
      <c r="O24" s="71" t="s">
        <v>86</v>
      </c>
      <c r="P24" s="71"/>
      <c r="Q24" s="71"/>
      <c r="R24" s="71"/>
      <c r="S24" s="71"/>
    </row>
    <row r="25" spans="1:19" ht="23.25" x14ac:dyDescent="0.35">
      <c r="B25" s="71">
        <v>93.774999999999991</v>
      </c>
      <c r="C25" s="71"/>
      <c r="D25" s="71"/>
      <c r="E25" s="71"/>
      <c r="F25" s="71">
        <v>2.5000000000000001E-2</v>
      </c>
      <c r="G25" s="71">
        <v>3.85</v>
      </c>
      <c r="H25" s="71">
        <v>2.2000000000000002</v>
      </c>
      <c r="I25" s="71"/>
      <c r="J25" s="71">
        <v>0.01</v>
      </c>
      <c r="K25" s="71">
        <v>2.5000000000000001E-2</v>
      </c>
      <c r="L25" s="71">
        <v>7.0000000000000007E-2</v>
      </c>
      <c r="M25" s="71"/>
      <c r="N25" s="71">
        <v>4.4999999999999998E-2</v>
      </c>
      <c r="O25" s="71"/>
      <c r="P25" s="71"/>
      <c r="Q25" s="71"/>
      <c r="R25" s="71"/>
      <c r="S25" s="71"/>
    </row>
    <row r="26" spans="1:19" ht="23.25" x14ac:dyDescent="0.35">
      <c r="B26" s="71">
        <v>80.644157300439971</v>
      </c>
      <c r="C26" s="71">
        <v>0</v>
      </c>
      <c r="D26" s="71">
        <v>0</v>
      </c>
      <c r="E26" s="71">
        <v>0</v>
      </c>
      <c r="F26" s="71">
        <v>1.8894005743496499E-2</v>
      </c>
      <c r="G26" s="71">
        <v>15.393910844382363</v>
      </c>
      <c r="H26" s="71">
        <v>3.7616596401949636</v>
      </c>
      <c r="I26" s="71">
        <v>0</v>
      </c>
      <c r="J26" s="71">
        <v>8.1817260998195175E-3</v>
      </c>
      <c r="K26" s="71">
        <v>2.3091462299322321E-2</v>
      </c>
      <c r="L26" s="71">
        <v>6.1195527941688498E-2</v>
      </c>
      <c r="M26" s="71">
        <v>0</v>
      </c>
      <c r="N26" s="71">
        <v>8.8909492898382264E-2</v>
      </c>
      <c r="O26" s="71">
        <v>0</v>
      </c>
      <c r="P26" s="71"/>
      <c r="Q26" s="71"/>
      <c r="R26" s="71"/>
      <c r="S26" s="71"/>
    </row>
    <row r="27" spans="1:19" ht="23.25" x14ac:dyDescent="0.35"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</row>
    <row r="28" spans="1:19" ht="23.25" x14ac:dyDescent="0.35"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</row>
    <row r="29" spans="1:19" ht="23.25" x14ac:dyDescent="0.35"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</row>
  </sheetData>
  <pageMargins left="0.7" right="0.7" top="0.78740157499999996" bottom="0.78740157499999996" header="0.3" footer="0.3"/>
  <pageSetup paperSize="9" orientation="portrait" verticalDpi="597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A72A7-B694-409A-BD55-C8E110DDA86E}">
  <dimension ref="A1:Q23"/>
  <sheetViews>
    <sheetView workbookViewId="0">
      <selection activeCell="N11" sqref="N11"/>
    </sheetView>
  </sheetViews>
  <sheetFormatPr baseColWidth="10" defaultRowHeight="15" x14ac:dyDescent="0.25"/>
  <cols>
    <col min="9" max="9" width="13.5703125" customWidth="1"/>
  </cols>
  <sheetData>
    <row r="1" spans="1:17" ht="18" x14ac:dyDescent="0.25">
      <c r="A1" s="34"/>
      <c r="B1" s="38"/>
      <c r="C1" s="3"/>
      <c r="D1" s="3"/>
      <c r="E1" s="39"/>
      <c r="F1" s="1"/>
      <c r="G1" s="40"/>
      <c r="H1" s="3"/>
      <c r="I1" s="3"/>
      <c r="J1" s="12"/>
      <c r="K1" s="39"/>
      <c r="L1" s="3"/>
      <c r="M1" s="3"/>
      <c r="N1" s="3"/>
      <c r="O1" s="3"/>
    </row>
    <row r="2" spans="1:17" ht="15.75" x14ac:dyDescent="0.25">
      <c r="B2" s="3">
        <f>C2+D2+E2+F2+G2+H2+I2+J2+K2+L2+M2+N2+O2</f>
        <v>19.174999557122977</v>
      </c>
      <c r="C2" s="64">
        <f>C4+D4+E4+F4+G4+H4+I4</f>
        <v>18.906417197380559</v>
      </c>
      <c r="D2" s="64"/>
      <c r="E2" s="3"/>
      <c r="F2" s="3"/>
      <c r="G2" s="3"/>
      <c r="H2" s="26"/>
      <c r="I2" s="3"/>
      <c r="J2" s="26">
        <f>J4</f>
        <v>0.123675734117873</v>
      </c>
      <c r="K2" s="4">
        <f>K4+L4+M4+N4+O4</f>
        <v>0.14490662562454162</v>
      </c>
      <c r="L2" s="64"/>
      <c r="M2" s="4"/>
      <c r="N2" s="65"/>
      <c r="O2" s="26"/>
      <c r="P2" s="4"/>
    </row>
    <row r="3" spans="1:17" ht="18" x14ac:dyDescent="0.25">
      <c r="A3" s="38"/>
      <c r="B3" s="34" t="s">
        <v>14</v>
      </c>
      <c r="C3" s="34" t="s">
        <v>56</v>
      </c>
      <c r="D3" s="34" t="s">
        <v>15</v>
      </c>
      <c r="E3" s="34" t="s">
        <v>8</v>
      </c>
      <c r="F3" s="34" t="s">
        <v>9</v>
      </c>
      <c r="G3" s="34" t="s">
        <v>57</v>
      </c>
      <c r="H3" s="34" t="s">
        <v>58</v>
      </c>
      <c r="I3" s="34" t="s">
        <v>77</v>
      </c>
      <c r="J3" s="34" t="s">
        <v>13</v>
      </c>
      <c r="K3" s="34" t="s">
        <v>16</v>
      </c>
      <c r="L3" s="34" t="s">
        <v>55</v>
      </c>
      <c r="M3" s="34" t="s">
        <v>44</v>
      </c>
      <c r="N3" s="34" t="s">
        <v>10</v>
      </c>
      <c r="O3" s="34" t="s">
        <v>12</v>
      </c>
    </row>
    <row r="4" spans="1:17" ht="15.75" x14ac:dyDescent="0.25">
      <c r="A4" s="38"/>
      <c r="B4" s="3">
        <f>100-C4-D4-E4-F4-G4-H4-I4-J4-K4-L4-M4-N4-O4</f>
        <v>80.825000442877013</v>
      </c>
      <c r="C4" s="6">
        <v>14.047267043493401</v>
      </c>
      <c r="D4" s="6">
        <v>4.2981396398143303</v>
      </c>
      <c r="E4" s="6">
        <v>0</v>
      </c>
      <c r="F4" s="6">
        <v>0.51119099435452997</v>
      </c>
      <c r="G4" s="6">
        <v>4.2260232999656998E-2</v>
      </c>
      <c r="H4" s="6">
        <v>7.5592867186443898E-3</v>
      </c>
      <c r="I4" s="6">
        <v>0</v>
      </c>
      <c r="J4" s="6">
        <v>0.123675734117873</v>
      </c>
      <c r="K4" s="6">
        <v>0.141210173192092</v>
      </c>
      <c r="L4" s="6">
        <v>1.0000000000000001E-5</v>
      </c>
      <c r="M4" s="6">
        <v>9.9999999999999995E-7</v>
      </c>
      <c r="N4" s="6">
        <v>3.6754524324496001E-3</v>
      </c>
      <c r="O4" s="6">
        <v>1.0000000000000001E-5</v>
      </c>
      <c r="Q4">
        <f>B4/(C4+D4+E4+F4+G4+H4+I4+J4+K4+L4+M4+N4+O4)</f>
        <v>4.2151239796432112</v>
      </c>
    </row>
    <row r="5" spans="1:17" ht="15.75" x14ac:dyDescent="0.25">
      <c r="A5" s="38"/>
      <c r="B5" s="3" t="s">
        <v>59</v>
      </c>
      <c r="C5" s="27">
        <f>B4/C4</f>
        <v>5.7537882772944515</v>
      </c>
      <c r="D5" s="27">
        <f>B4/D4</f>
        <v>18.804647409354171</v>
      </c>
      <c r="E5" s="27" t="e">
        <f>B4/E4</f>
        <v>#DIV/0!</v>
      </c>
      <c r="F5" s="27">
        <f>B4/F4</f>
        <v>158.11115871658308</v>
      </c>
      <c r="G5" s="28">
        <f>B4/G4</f>
        <v>1912.5545390043881</v>
      </c>
      <c r="H5" s="28">
        <f>B4/H4</f>
        <v>10692.14642216553</v>
      </c>
      <c r="I5" s="28" t="e">
        <f>B4/I4</f>
        <v>#DIV/0!</v>
      </c>
      <c r="J5" s="38">
        <f>B4/J4</f>
        <v>653.52351469241523</v>
      </c>
      <c r="K5" s="38">
        <f>B4/K4</f>
        <v>572.37377885606429</v>
      </c>
      <c r="L5" s="38">
        <f>B4/L4</f>
        <v>8082500.0442877002</v>
      </c>
      <c r="M5" s="38">
        <f>B4/M4</f>
        <v>80825000.44287701</v>
      </c>
      <c r="N5" s="38">
        <f>B4/N4</f>
        <v>21990.490131036495</v>
      </c>
      <c r="O5" s="38">
        <f>B4/O4</f>
        <v>8082500.0442877002</v>
      </c>
      <c r="P5" t="e">
        <f>B4/P4</f>
        <v>#DIV/0!</v>
      </c>
    </row>
    <row r="6" spans="1:17" x14ac:dyDescent="0.25">
      <c r="C6">
        <f>599*B4/100/C5</f>
        <v>84.143129590525461</v>
      </c>
      <c r="D6">
        <f>599*B4/100/D5</f>
        <v>25.745856442487838</v>
      </c>
      <c r="E6" t="e">
        <f>599*B4/100/E5</f>
        <v>#DIV/0!</v>
      </c>
      <c r="F6">
        <f>599*B4/100/F5</f>
        <v>3.0620340561836343</v>
      </c>
      <c r="G6">
        <f>599*B4/100/G5</f>
        <v>0.25313879566794539</v>
      </c>
      <c r="H6">
        <f>599*B4/100/H5</f>
        <v>4.5280127444679893E-2</v>
      </c>
      <c r="I6" t="e">
        <f>599*B4/100/I5</f>
        <v>#DIV/0!</v>
      </c>
      <c r="J6">
        <f>599*B4/100/J5</f>
        <v>0.74081764736605926</v>
      </c>
      <c r="K6">
        <f>599*B4/100/K5</f>
        <v>0.84584893742063116</v>
      </c>
      <c r="L6">
        <f>599*B4/100/L5</f>
        <v>5.9900000000000006E-5</v>
      </c>
      <c r="M6">
        <f>599*B4/100/M5</f>
        <v>5.9900000000000002E-6</v>
      </c>
      <c r="N6">
        <f>599*B4/100/N5</f>
        <v>2.2015960070373104E-2</v>
      </c>
      <c r="O6">
        <f>599*B4/100/O5</f>
        <v>5.9900000000000006E-5</v>
      </c>
      <c r="P6" t="e">
        <f>599*N4/100/P5</f>
        <v>#DIV/0!</v>
      </c>
      <c r="Q6" t="e">
        <f>599*P4/100/Q5</f>
        <v>#DIV/0!</v>
      </c>
    </row>
    <row r="7" spans="1:17" ht="15.75" x14ac:dyDescent="0.25">
      <c r="A7" s="42"/>
      <c r="B7" t="s">
        <v>60</v>
      </c>
      <c r="C7" s="43">
        <f>C6+D6+F6+G6+H6</f>
        <v>113.24943901230957</v>
      </c>
      <c r="D7" s="44"/>
      <c r="E7" s="44"/>
      <c r="F7" s="44"/>
      <c r="G7" s="44"/>
      <c r="H7" s="44"/>
      <c r="I7" s="44"/>
      <c r="J7" s="44">
        <f>J6+O6</f>
        <v>0.74087754736605926</v>
      </c>
      <c r="K7" s="44"/>
      <c r="L7" s="44"/>
      <c r="M7" s="44"/>
      <c r="N7" s="44"/>
      <c r="O7" s="44"/>
      <c r="P7" s="44"/>
    </row>
    <row r="8" spans="1:17" ht="15.75" x14ac:dyDescent="0.25">
      <c r="A8" s="45"/>
      <c r="B8" s="46" t="s">
        <v>61</v>
      </c>
      <c r="C8" s="47">
        <f>J6+K6+N6</f>
        <v>1.6086825448570634</v>
      </c>
      <c r="E8" s="48"/>
    </row>
    <row r="9" spans="1:17" ht="15.75" x14ac:dyDescent="0.25">
      <c r="A9" s="42"/>
      <c r="B9" t="s">
        <v>62</v>
      </c>
      <c r="C9">
        <f>C7+C8</f>
        <v>114.85812155716663</v>
      </c>
    </row>
    <row r="10" spans="1:17" ht="15.75" x14ac:dyDescent="0.25">
      <c r="A10" s="42"/>
      <c r="B10">
        <v>42</v>
      </c>
      <c r="C10" s="49">
        <f>B10*100/599</f>
        <v>7.0116861435726214</v>
      </c>
      <c r="D10">
        <v>90.81</v>
      </c>
      <c r="E10" s="50"/>
      <c r="F10">
        <v>1</v>
      </c>
      <c r="G10" s="49">
        <f>F10*100/599</f>
        <v>0.1669449081803005</v>
      </c>
      <c r="H10" t="s">
        <v>63</v>
      </c>
      <c r="I10" t="e">
        <f>K6+I6</f>
        <v>#DIV/0!</v>
      </c>
    </row>
    <row r="11" spans="1:17" ht="15.75" x14ac:dyDescent="0.25">
      <c r="A11" s="42"/>
      <c r="B11">
        <v>7</v>
      </c>
      <c r="C11" s="49">
        <f>B11*100/599</f>
        <v>1.1686143572621035</v>
      </c>
      <c r="E11" s="51"/>
      <c r="F11">
        <v>2</v>
      </c>
      <c r="G11" s="49">
        <f t="shared" ref="G11:G18" si="0">F11*100/599</f>
        <v>0.333889816360601</v>
      </c>
      <c r="H11" t="s">
        <v>64</v>
      </c>
      <c r="I11">
        <f>C6+G6+L6+M6+D6</f>
        <v>110.14219071868125</v>
      </c>
      <c r="J11" t="s">
        <v>65</v>
      </c>
      <c r="K11" t="s">
        <v>66</v>
      </c>
    </row>
    <row r="12" spans="1:17" ht="15.75" x14ac:dyDescent="0.25">
      <c r="A12" s="42"/>
      <c r="B12">
        <v>54</v>
      </c>
      <c r="C12" s="49">
        <f t="shared" ref="C12:C18" si="1">B12*100/599</f>
        <v>9.0150250417362265</v>
      </c>
      <c r="D12">
        <v>88.81</v>
      </c>
      <c r="E12" s="50" t="s">
        <v>40</v>
      </c>
      <c r="F12">
        <v>3</v>
      </c>
      <c r="G12" s="49">
        <f t="shared" si="0"/>
        <v>0.5008347245409015</v>
      </c>
    </row>
    <row r="13" spans="1:17" ht="15.75" x14ac:dyDescent="0.25">
      <c r="A13" s="42"/>
      <c r="B13">
        <v>6</v>
      </c>
      <c r="C13" s="49">
        <f t="shared" si="1"/>
        <v>1.001669449081803</v>
      </c>
      <c r="E13" s="52"/>
      <c r="F13">
        <v>4</v>
      </c>
      <c r="G13" s="49">
        <f t="shared" si="0"/>
        <v>0.667779632721202</v>
      </c>
      <c r="H13" t="s">
        <v>67</v>
      </c>
      <c r="I13" s="44" t="e">
        <f>I10+I11</f>
        <v>#DIV/0!</v>
      </c>
      <c r="K13" t="s">
        <v>68</v>
      </c>
    </row>
    <row r="14" spans="1:17" ht="15.75" x14ac:dyDescent="0.25">
      <c r="A14" s="42"/>
      <c r="B14">
        <v>30</v>
      </c>
      <c r="C14" s="49">
        <f t="shared" si="1"/>
        <v>5.0083472454090154</v>
      </c>
      <c r="D14">
        <v>92.82</v>
      </c>
      <c r="E14" s="50"/>
      <c r="F14">
        <v>5</v>
      </c>
      <c r="G14" s="49">
        <f t="shared" si="0"/>
        <v>0.8347245409015025</v>
      </c>
      <c r="H14" s="53"/>
      <c r="I14" s="54"/>
      <c r="K14" t="s">
        <v>69</v>
      </c>
    </row>
    <row r="15" spans="1:17" ht="15.75" x14ac:dyDescent="0.25">
      <c r="A15" s="42"/>
      <c r="B15">
        <v>24</v>
      </c>
      <c r="C15" s="49">
        <f t="shared" si="1"/>
        <v>4.006677796327212</v>
      </c>
      <c r="D15">
        <v>93.82</v>
      </c>
      <c r="E15" s="52" t="s">
        <v>41</v>
      </c>
      <c r="F15">
        <v>6</v>
      </c>
      <c r="G15" s="49">
        <f t="shared" si="0"/>
        <v>1.001669449081803</v>
      </c>
      <c r="I15" s="44" t="s">
        <v>70</v>
      </c>
      <c r="K15" s="44" t="s">
        <v>71</v>
      </c>
    </row>
    <row r="16" spans="1:17" ht="15.75" x14ac:dyDescent="0.25">
      <c r="A16" s="42"/>
      <c r="B16">
        <v>20</v>
      </c>
      <c r="C16" s="49">
        <f t="shared" si="1"/>
        <v>3.33889816360601</v>
      </c>
      <c r="D16">
        <v>94.49</v>
      </c>
      <c r="E16" s="52"/>
      <c r="F16">
        <v>7</v>
      </c>
      <c r="G16" s="49">
        <f t="shared" si="0"/>
        <v>1.1686143572621035</v>
      </c>
      <c r="I16" t="s">
        <v>72</v>
      </c>
      <c r="J16" s="53"/>
      <c r="K16" t="s">
        <v>73</v>
      </c>
    </row>
    <row r="17" spans="1:17" ht="15.75" x14ac:dyDescent="0.25">
      <c r="A17" s="42"/>
      <c r="B17">
        <v>12</v>
      </c>
      <c r="C17" s="49">
        <f t="shared" si="1"/>
        <v>2.003338898163606</v>
      </c>
      <c r="D17">
        <v>95.82</v>
      </c>
      <c r="E17" s="52"/>
      <c r="F17">
        <v>8</v>
      </c>
      <c r="G17" s="49">
        <f t="shared" si="0"/>
        <v>1.335559265442404</v>
      </c>
      <c r="I17" s="55" t="s">
        <v>74</v>
      </c>
      <c r="K17" s="56" t="s">
        <v>75</v>
      </c>
      <c r="M17" s="44"/>
    </row>
    <row r="18" spans="1:17" ht="15.75" x14ac:dyDescent="0.25">
      <c r="A18" s="42"/>
      <c r="B18">
        <v>50</v>
      </c>
      <c r="C18" s="49">
        <f t="shared" si="1"/>
        <v>8.3472454090150254</v>
      </c>
      <c r="D18">
        <v>89.48</v>
      </c>
      <c r="E18" s="52" t="s">
        <v>42</v>
      </c>
      <c r="F18">
        <v>9</v>
      </c>
      <c r="G18" s="49">
        <f t="shared" si="0"/>
        <v>1.5025041736227045</v>
      </c>
      <c r="I18" t="s">
        <v>76</v>
      </c>
      <c r="J18" s="53"/>
    </row>
    <row r="19" spans="1:17" ht="15.75" x14ac:dyDescent="0.25">
      <c r="A19" s="29"/>
      <c r="B19" s="3"/>
      <c r="C19" s="5"/>
      <c r="D19" s="31"/>
      <c r="E19" s="5"/>
      <c r="F19" s="30"/>
      <c r="G19" s="5"/>
      <c r="H19" s="32"/>
      <c r="I19" s="29"/>
      <c r="J19" s="30"/>
      <c r="K19" s="4"/>
      <c r="L19" s="4"/>
      <c r="M19" s="4"/>
      <c r="N19" s="4"/>
      <c r="O19" s="4"/>
      <c r="P19" s="4"/>
      <c r="Q19" s="4"/>
    </row>
    <row r="20" spans="1:17" ht="15.75" x14ac:dyDescent="0.25">
      <c r="A20" s="2"/>
      <c r="B20" s="3"/>
      <c r="C20" s="3"/>
      <c r="D20" s="3"/>
      <c r="E20" s="41"/>
      <c r="F20" s="41"/>
      <c r="G20" s="3"/>
      <c r="H20" s="3"/>
      <c r="I20" s="3"/>
      <c r="J20" s="3"/>
      <c r="K20" s="3"/>
      <c r="L20" s="41"/>
      <c r="M20" s="3"/>
      <c r="N20" s="41"/>
      <c r="O20" s="3"/>
      <c r="P20" s="3"/>
      <c r="Q20" s="3"/>
    </row>
    <row r="21" spans="1:17" ht="15.75" x14ac:dyDescent="0.25">
      <c r="A21" s="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3"/>
      <c r="P21" s="3"/>
      <c r="Q21" s="3"/>
    </row>
    <row r="22" spans="1:17" ht="15.75" x14ac:dyDescent="0.25">
      <c r="A22" s="3"/>
      <c r="B22" s="27"/>
      <c r="C22" s="27"/>
      <c r="D22" s="27"/>
      <c r="E22" s="27"/>
      <c r="F22" s="28"/>
      <c r="G22" s="28"/>
      <c r="H22" s="28"/>
      <c r="I22" s="38"/>
      <c r="J22" s="38"/>
      <c r="K22" s="38"/>
      <c r="L22" s="38"/>
      <c r="M22" s="38"/>
      <c r="N22" s="38"/>
      <c r="O22" s="41"/>
      <c r="P22" s="3"/>
      <c r="Q22" s="3"/>
    </row>
    <row r="23" spans="1:17" ht="15.75" x14ac:dyDescent="0.25">
      <c r="O23" s="3"/>
      <c r="P23" s="3"/>
      <c r="Q23" s="3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5819A-604B-448C-9BE8-2E90CF429F6B}">
  <dimension ref="A1:BB67"/>
  <sheetViews>
    <sheetView zoomScale="84" zoomScaleNormal="84" workbookViewId="0">
      <selection activeCell="H30" sqref="H30"/>
    </sheetView>
  </sheetViews>
  <sheetFormatPr baseColWidth="10" defaultColWidth="8.7109375" defaultRowHeight="15" x14ac:dyDescent="0.25"/>
  <cols>
    <col min="1" max="1" width="47.7109375" customWidth="1"/>
    <col min="2" max="3" width="13.28515625" customWidth="1"/>
    <col min="4" max="4" width="10.5703125" customWidth="1"/>
    <col min="5" max="5" width="10.140625" customWidth="1"/>
    <col min="6" max="6" width="10.85546875" customWidth="1"/>
    <col min="7" max="7" width="10.28515625" customWidth="1"/>
    <col min="8" max="8" width="11.5703125" customWidth="1"/>
    <col min="9" max="9" width="10.7109375" customWidth="1"/>
    <col min="10" max="10" width="12.7109375" customWidth="1"/>
    <col min="11" max="11" width="14.28515625" customWidth="1"/>
    <col min="12" max="12" width="9.85546875" customWidth="1"/>
    <col min="13" max="13" width="13.140625" customWidth="1"/>
    <col min="14" max="14" width="10.5703125" customWidth="1"/>
    <col min="15" max="15" width="12.140625" customWidth="1"/>
    <col min="16" max="21" width="13.42578125" bestFit="1" customWidth="1"/>
    <col min="22" max="22" width="12.28515625" bestFit="1" customWidth="1"/>
    <col min="23" max="26" width="13.42578125" bestFit="1" customWidth="1"/>
  </cols>
  <sheetData>
    <row r="1" spans="1:54" ht="21" x14ac:dyDescent="0.35">
      <c r="A1" s="89" t="s">
        <v>34</v>
      </c>
      <c r="B1" s="89"/>
      <c r="C1" s="89">
        <f>C5-C2</f>
        <v>7.2142107232689989E-2</v>
      </c>
      <c r="D1" s="89">
        <f>D4-D2</f>
        <v>3.4548077230431851E-3</v>
      </c>
      <c r="E1" s="89">
        <f>E2-E5</f>
        <v>0</v>
      </c>
      <c r="F1" s="89">
        <f>F4-F2</f>
        <v>0</v>
      </c>
      <c r="G1" s="89">
        <f t="shared" ref="G1:O1" si="0">G4-G2</f>
        <v>-2.7575682784133733</v>
      </c>
      <c r="H1" s="89">
        <f t="shared" si="0"/>
        <v>8.8718546811123438E-3</v>
      </c>
      <c r="I1" s="89">
        <f>I4-I2</f>
        <v>1.7139854382745025E-3</v>
      </c>
      <c r="J1" s="89">
        <f>J5-J2</f>
        <v>0</v>
      </c>
      <c r="K1" s="89">
        <f>K5-K2</f>
        <v>0</v>
      </c>
      <c r="L1" s="89">
        <f t="shared" si="0"/>
        <v>-6.8840422979347782E-2</v>
      </c>
      <c r="M1" s="89">
        <f t="shared" si="0"/>
        <v>2.2612196288118464E-3</v>
      </c>
      <c r="N1" s="89">
        <f t="shared" si="0"/>
        <v>3.8517367261846847E-2</v>
      </c>
      <c r="O1" s="89">
        <f t="shared" si="0"/>
        <v>-2.3557185940763364E-3</v>
      </c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</row>
    <row r="2" spans="1:54" ht="21" x14ac:dyDescent="0.35">
      <c r="A2" s="89" t="s">
        <v>37</v>
      </c>
      <c r="B2" s="138">
        <f>100-C2-D2-E2-F2-G2-H2-I2-J2-K2-L2-M2-N2-O2</f>
        <v>90.206010016694492</v>
      </c>
      <c r="C2" s="89">
        <f>'1.0330_3'!C4</f>
        <v>1.669449081803005</v>
      </c>
      <c r="D2" s="89">
        <f>'1.0330_3'!D4</f>
        <v>1.335559265442404</v>
      </c>
      <c r="E2" s="89">
        <f>'1.0330_3'!E4</f>
        <v>0</v>
      </c>
      <c r="F2" s="89">
        <f>'1.0330_3'!F4</f>
        <v>0</v>
      </c>
      <c r="G2" s="89">
        <f>'1.0330_3'!G4</f>
        <v>3.672787979966611</v>
      </c>
      <c r="H2" s="89">
        <f>'1.0330_3'!H4</f>
        <v>0</v>
      </c>
      <c r="I2" s="89">
        <f>'1.0330_3'!I4</f>
        <v>0</v>
      </c>
      <c r="J2" s="89">
        <f>'1.0330_3'!J4</f>
        <v>0</v>
      </c>
      <c r="K2" s="89">
        <f>'1.0330_3'!K4</f>
        <v>0</v>
      </c>
      <c r="L2" s="89">
        <f>'1.0330_3'!L4</f>
        <v>1.669449081803005</v>
      </c>
      <c r="M2" s="89">
        <f>'1.0330_3'!M4</f>
        <v>0</v>
      </c>
      <c r="N2" s="89">
        <f>'1.0330_3'!N4</f>
        <v>1.335559265442404</v>
      </c>
      <c r="O2" s="89">
        <f>'1.0330_3'!O4</f>
        <v>0.11118530884808014</v>
      </c>
      <c r="P2" s="89">
        <f>'1.0330_3'!P4</f>
        <v>0</v>
      </c>
      <c r="Q2" s="89">
        <f>'1.0330_3'!Q4</f>
        <v>5.5642737896494154E-2</v>
      </c>
      <c r="R2" s="89">
        <f>'1.0330_3'!R4</f>
        <v>0</v>
      </c>
      <c r="S2" s="89">
        <f>'1.0330_3'!S4</f>
        <v>0</v>
      </c>
      <c r="T2" s="89">
        <f>'1.0330_3'!T4</f>
        <v>0</v>
      </c>
      <c r="U2" s="89">
        <f>'1.0330_3'!U4</f>
        <v>0</v>
      </c>
      <c r="V2" s="89">
        <f>'1.0330_3'!V4</f>
        <v>0</v>
      </c>
      <c r="W2" s="89">
        <f>'1.0330_3'!W4</f>
        <v>0</v>
      </c>
      <c r="X2" s="89">
        <f>'1.0330_3'!X4</f>
        <v>0</v>
      </c>
      <c r="Y2" s="89">
        <f>'1.0330_3'!Y4</f>
        <v>0</v>
      </c>
      <c r="Z2" s="89">
        <f>'1.0330_3'!Z4</f>
        <v>0</v>
      </c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</row>
    <row r="3" spans="1:54" ht="21" x14ac:dyDescent="0.35">
      <c r="A3" s="89"/>
      <c r="B3" s="210" t="s">
        <v>14</v>
      </c>
      <c r="C3" s="275" t="s">
        <v>15</v>
      </c>
      <c r="D3" s="274" t="s">
        <v>8</v>
      </c>
      <c r="E3" s="210" t="s">
        <v>9</v>
      </c>
      <c r="F3" s="210" t="s">
        <v>234</v>
      </c>
      <c r="G3" s="275" t="s">
        <v>56</v>
      </c>
      <c r="H3" s="210" t="s">
        <v>57</v>
      </c>
      <c r="I3" s="210" t="s">
        <v>58</v>
      </c>
      <c r="J3" s="210" t="s">
        <v>77</v>
      </c>
      <c r="K3" s="210" t="s">
        <v>204</v>
      </c>
      <c r="L3" s="274" t="s">
        <v>16</v>
      </c>
      <c r="M3" s="210" t="s">
        <v>13</v>
      </c>
      <c r="N3" s="275" t="s">
        <v>44</v>
      </c>
      <c r="O3" s="210" t="s">
        <v>55</v>
      </c>
      <c r="P3" s="210" t="s">
        <v>17</v>
      </c>
      <c r="Q3" s="210" t="s">
        <v>80</v>
      </c>
      <c r="R3" s="210" t="s">
        <v>81</v>
      </c>
      <c r="S3" s="210" t="s">
        <v>82</v>
      </c>
      <c r="T3" s="210" t="s">
        <v>83</v>
      </c>
      <c r="U3" s="210" t="s">
        <v>45</v>
      </c>
      <c r="V3" s="210" t="s">
        <v>43</v>
      </c>
      <c r="W3" s="210" t="s">
        <v>13</v>
      </c>
      <c r="X3" s="210" t="s">
        <v>0</v>
      </c>
      <c r="Y3" s="210" t="s">
        <v>11</v>
      </c>
      <c r="Z3" s="210" t="s">
        <v>10</v>
      </c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</row>
    <row r="4" spans="1:54" ht="21" x14ac:dyDescent="0.35">
      <c r="A4" s="89" t="s">
        <v>35</v>
      </c>
      <c r="B4" s="89">
        <f>100-C4-D4-E4-F4-G4-H4-I4-J4-K4-L4-M4-N4-O4-P4-Q4-R4-S4-T4-U4-V4-W4-X4-Y4-Z4</f>
        <v>92.840162287943642</v>
      </c>
      <c r="C4" s="89">
        <f>'opt 1'!B3</f>
        <v>1.741591189035695</v>
      </c>
      <c r="D4" s="89">
        <f>'opt 1'!C3</f>
        <v>1.3390140731654472</v>
      </c>
      <c r="E4" s="89">
        <f>'opt 1'!D3</f>
        <v>0</v>
      </c>
      <c r="F4" s="89">
        <f>'opt 1'!E3</f>
        <v>0</v>
      </c>
      <c r="G4" s="89">
        <f>'opt 1'!F3</f>
        <v>0.91521970155323784</v>
      </c>
      <c r="H4" s="89">
        <f>'opt 1'!G3</f>
        <v>8.8718546811123438E-3</v>
      </c>
      <c r="I4" s="89">
        <f>'opt 1'!H3</f>
        <v>1.7139854382745025E-3</v>
      </c>
      <c r="J4" s="89">
        <f>'opt 1'!I3</f>
        <v>3.9237609914021089E-3</v>
      </c>
      <c r="K4" s="89">
        <f>'opt 1'!J3</f>
        <v>7.6261253115085933E-3</v>
      </c>
      <c r="L4" s="89">
        <f>'opt 1'!K3</f>
        <v>1.6006086588236572</v>
      </c>
      <c r="M4" s="89">
        <f>'opt 1'!L3</f>
        <v>2.2612196288118464E-3</v>
      </c>
      <c r="N4" s="89">
        <f>'opt 1'!M3</f>
        <v>1.3740766327042508</v>
      </c>
      <c r="O4" s="89">
        <f>'opt 1'!N3</f>
        <v>0.10882959025400381</v>
      </c>
      <c r="P4" s="89">
        <f>'opt 1'!O3</f>
        <v>0</v>
      </c>
      <c r="Q4" s="89">
        <f>'opt 1'!P3</f>
        <v>5.6100920468972061E-2</v>
      </c>
      <c r="R4" s="89">
        <f>'opt 1'!Q3</f>
        <v>0</v>
      </c>
      <c r="S4" s="89">
        <f>'opt 1'!R3</f>
        <v>0</v>
      </c>
      <c r="T4" s="89">
        <f>'opt 1'!S3</f>
        <v>0</v>
      </c>
      <c r="U4" s="89">
        <f>'opt 1'!T3</f>
        <v>0</v>
      </c>
      <c r="V4" s="89">
        <f>'opt 1'!U3</f>
        <v>0</v>
      </c>
      <c r="W4" s="89">
        <f>'opt 1'!V3</f>
        <v>0</v>
      </c>
      <c r="X4" s="89">
        <f>'opt 1'!W3</f>
        <v>0</v>
      </c>
      <c r="Y4" s="89">
        <f>'opt 1'!X3</f>
        <v>0</v>
      </c>
      <c r="Z4" s="89">
        <f>'opt 1'!Y3</f>
        <v>0</v>
      </c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</row>
    <row r="5" spans="1:54" ht="21" x14ac:dyDescent="0.35">
      <c r="A5" s="89" t="s">
        <v>36</v>
      </c>
      <c r="B5" s="89">
        <f>100-C5-D5-E5-F5-G5-H5-I5-J5-K5-L5-M5-N5-O5</f>
        <v>92.896263208412606</v>
      </c>
      <c r="C5" s="149">
        <f>C4</f>
        <v>1.741591189035695</v>
      </c>
      <c r="D5" s="158">
        <f>D4</f>
        <v>1.3390140731654472</v>
      </c>
      <c r="E5" s="159"/>
      <c r="F5" s="159"/>
      <c r="G5" s="159">
        <f>G4+E4+F4+H4+I4+J4+K4+M4+V4</f>
        <v>0.93961664760434727</v>
      </c>
      <c r="H5" s="159"/>
      <c r="I5" s="159"/>
      <c r="J5" s="149"/>
      <c r="K5" s="149"/>
      <c r="L5" s="7">
        <f>L4</f>
        <v>1.6006086588236572</v>
      </c>
      <c r="M5" s="7"/>
      <c r="N5" s="7">
        <f>N4+P4+R4+S4+T4+U4+V4+W4+X4+Y4+Z4</f>
        <v>1.3740766327042508</v>
      </c>
      <c r="O5" s="7">
        <f>O4</f>
        <v>0.10882959025400381</v>
      </c>
      <c r="P5" s="7"/>
      <c r="Q5" s="7">
        <f>Q4</f>
        <v>5.6100920468972061E-2</v>
      </c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</row>
    <row r="6" spans="1:54" ht="21" x14ac:dyDescent="0.35">
      <c r="A6" s="89"/>
      <c r="B6" s="89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</row>
    <row r="7" spans="1:54" ht="21" x14ac:dyDescent="0.35">
      <c r="A7" s="89" t="s">
        <v>92</v>
      </c>
      <c r="B7" s="139">
        <f>100-C7-D7-E7-F7-G7-H7-I7-J7-K7-L7-M7-N7-O7-P7-Q7-R7-S7-T7-U7-V7-W7-X7-Y7-Z7</f>
        <v>91.677151537036082</v>
      </c>
      <c r="C7" s="156">
        <f>C2</f>
        <v>1.669449081803005</v>
      </c>
      <c r="D7" s="156"/>
      <c r="E7" s="156"/>
      <c r="F7" s="156"/>
      <c r="G7" s="156">
        <f>G2-E4-F4-H4-I4-J4-K4-M4-V4</f>
        <v>3.6483910339155017</v>
      </c>
      <c r="H7" s="156"/>
      <c r="I7" s="156"/>
      <c r="J7" s="156"/>
      <c r="K7" s="156"/>
      <c r="L7" s="156">
        <f>L2</f>
        <v>1.669449081803005</v>
      </c>
      <c r="M7" s="156">
        <f>M2</f>
        <v>0</v>
      </c>
      <c r="N7" s="156">
        <f>N2-P4-R4-S4-T4-U4-V4-W4-X4-Y4-Z4</f>
        <v>1.335559265442404</v>
      </c>
      <c r="O7" s="156"/>
      <c r="P7" s="156"/>
      <c r="Q7" s="156"/>
      <c r="R7" s="177"/>
      <c r="S7" s="177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</row>
    <row r="8" spans="1:54" ht="21" x14ac:dyDescent="0.35">
      <c r="A8" s="89"/>
      <c r="B8" s="138">
        <f>100-SUM(C8:Z8)</f>
        <v>90.150367278798001</v>
      </c>
      <c r="C8" s="177">
        <f>C2</f>
        <v>1.669449081803005</v>
      </c>
      <c r="D8" s="177">
        <f t="shared" ref="D8:Z8" si="1">D2</f>
        <v>1.335559265442404</v>
      </c>
      <c r="E8" s="177">
        <f t="shared" si="1"/>
        <v>0</v>
      </c>
      <c r="F8" s="177">
        <f t="shared" si="1"/>
        <v>0</v>
      </c>
      <c r="G8" s="177">
        <f t="shared" si="1"/>
        <v>3.672787979966611</v>
      </c>
      <c r="H8" s="177">
        <f t="shared" si="1"/>
        <v>0</v>
      </c>
      <c r="I8" s="177">
        <f t="shared" si="1"/>
        <v>0</v>
      </c>
      <c r="J8" s="177">
        <f t="shared" si="1"/>
        <v>0</v>
      </c>
      <c r="K8" s="177">
        <f t="shared" si="1"/>
        <v>0</v>
      </c>
      <c r="L8" s="177">
        <f t="shared" si="1"/>
        <v>1.669449081803005</v>
      </c>
      <c r="M8" s="177">
        <f t="shared" si="1"/>
        <v>0</v>
      </c>
      <c r="N8" s="177">
        <f t="shared" si="1"/>
        <v>1.335559265442404</v>
      </c>
      <c r="O8" s="177">
        <f t="shared" si="1"/>
        <v>0.11118530884808014</v>
      </c>
      <c r="P8" s="177">
        <f t="shared" si="1"/>
        <v>0</v>
      </c>
      <c r="Q8" s="177">
        <f t="shared" si="1"/>
        <v>5.5642737896494154E-2</v>
      </c>
      <c r="R8" s="177">
        <f t="shared" si="1"/>
        <v>0</v>
      </c>
      <c r="S8" s="177">
        <f t="shared" si="1"/>
        <v>0</v>
      </c>
      <c r="T8" s="177">
        <f t="shared" si="1"/>
        <v>0</v>
      </c>
      <c r="U8" s="177">
        <f t="shared" si="1"/>
        <v>0</v>
      </c>
      <c r="V8" s="177">
        <f t="shared" si="1"/>
        <v>0</v>
      </c>
      <c r="W8" s="177">
        <f t="shared" si="1"/>
        <v>0</v>
      </c>
      <c r="X8" s="177">
        <f t="shared" si="1"/>
        <v>0</v>
      </c>
      <c r="Y8" s="177">
        <f t="shared" si="1"/>
        <v>0</v>
      </c>
      <c r="Z8" s="177">
        <f t="shared" si="1"/>
        <v>0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</row>
    <row r="9" spans="1:54" ht="21" x14ac:dyDescent="0.35">
      <c r="A9" s="89"/>
      <c r="B9" s="138"/>
      <c r="C9" s="199">
        <f>B8/C8</f>
        <v>54.000070000000001</v>
      </c>
      <c r="D9" s="199">
        <f>B8/D8</f>
        <v>67.500087500000006</v>
      </c>
      <c r="E9" s="199" t="e">
        <f>B8/E8</f>
        <v>#DIV/0!</v>
      </c>
      <c r="F9" s="199" t="e">
        <f>B8/F8</f>
        <v>#DIV/0!</v>
      </c>
      <c r="G9" s="200">
        <f>B8/G8</f>
        <v>24.545486363636364</v>
      </c>
      <c r="H9" s="200" t="e">
        <f>B8/H8</f>
        <v>#DIV/0!</v>
      </c>
      <c r="I9" s="200" t="e">
        <f>B8/I8</f>
        <v>#DIV/0!</v>
      </c>
      <c r="J9" s="139" t="e">
        <f>B8/J8</f>
        <v>#DIV/0!</v>
      </c>
      <c r="K9" s="139" t="e">
        <f>B8/K8</f>
        <v>#DIV/0!</v>
      </c>
      <c r="L9" s="139">
        <f>B8/L8</f>
        <v>54.000070000000001</v>
      </c>
      <c r="M9" s="139" t="e">
        <f>B8/M8</f>
        <v>#DIV/0!</v>
      </c>
      <c r="N9" s="139">
        <f>B8/N8</f>
        <v>67.500087500000006</v>
      </c>
      <c r="O9" s="139">
        <f>B8/O8</f>
        <v>810.81186186186187</v>
      </c>
      <c r="P9" s="89" t="e">
        <f>B8/P8</f>
        <v>#DIV/0!</v>
      </c>
      <c r="Q9" s="89">
        <f>B8/Q8</f>
        <v>1620.1641164116413</v>
      </c>
      <c r="R9" s="89" t="e">
        <f>B8/R8</f>
        <v>#DIV/0!</v>
      </c>
      <c r="S9" s="89" t="e">
        <f>B8/S8</f>
        <v>#DIV/0!</v>
      </c>
      <c r="T9" s="89" t="e">
        <f>B8/T8</f>
        <v>#DIV/0!</v>
      </c>
      <c r="U9" s="89" t="e">
        <f>B8/U8</f>
        <v>#DIV/0!</v>
      </c>
      <c r="V9" s="89" t="e">
        <f>B8/V8</f>
        <v>#DIV/0!</v>
      </c>
      <c r="W9" s="89" t="e">
        <f>B8/W8</f>
        <v>#DIV/0!</v>
      </c>
      <c r="X9" s="89" t="e">
        <f>B8/X8</f>
        <v>#DIV/0!</v>
      </c>
      <c r="Y9" s="89" t="e">
        <f>B8/Y8</f>
        <v>#DIV/0!</v>
      </c>
      <c r="Z9" s="89" t="e">
        <f t="shared" ref="Z9" si="2">L8/Z8</f>
        <v>#DIV/0!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</row>
    <row r="10" spans="1:54" ht="21" x14ac:dyDescent="0.35">
      <c r="A10" s="89" t="s">
        <v>32</v>
      </c>
      <c r="B10" s="207" t="e">
        <f>C10+D10+J10+K10</f>
        <v>#DIV/0!</v>
      </c>
      <c r="C10" s="89">
        <f>599*B8/100/C9</f>
        <v>10</v>
      </c>
      <c r="D10" s="89">
        <f>599*B8/100/D9</f>
        <v>8</v>
      </c>
      <c r="E10" s="89" t="e">
        <f>599*B8/100/E9</f>
        <v>#DIV/0!</v>
      </c>
      <c r="F10" s="89" t="e">
        <f>599*B8/100/F9</f>
        <v>#DIV/0!</v>
      </c>
      <c r="G10" s="89">
        <f>599*B8/100/G9</f>
        <v>22</v>
      </c>
      <c r="H10" s="89" t="e">
        <f>599*B8/100/H9</f>
        <v>#DIV/0!</v>
      </c>
      <c r="I10" s="89" t="e">
        <f>599*B8/100/I9</f>
        <v>#DIV/0!</v>
      </c>
      <c r="J10" s="89" t="e">
        <f>599*B8/100/J9</f>
        <v>#DIV/0!</v>
      </c>
      <c r="K10" s="89" t="e">
        <f>599*B8/100/K9</f>
        <v>#DIV/0!</v>
      </c>
      <c r="L10" s="89">
        <f>599*B8/100/L9</f>
        <v>10</v>
      </c>
      <c r="M10" s="89" t="e">
        <f>599*B8/100/M9</f>
        <v>#DIV/0!</v>
      </c>
      <c r="N10" s="89">
        <f>599*B8/100/N9</f>
        <v>8</v>
      </c>
      <c r="O10" s="89">
        <f>599*B8/100/O9</f>
        <v>0.66600000000000004</v>
      </c>
      <c r="P10" s="89" t="e">
        <f>599*B8/100/P9</f>
        <v>#DIV/0!</v>
      </c>
      <c r="Q10" s="89">
        <f>599*B8/100/Q9</f>
        <v>0.33329999999999999</v>
      </c>
      <c r="R10" s="89" t="e">
        <f>599*B8/100/R9</f>
        <v>#DIV/0!</v>
      </c>
      <c r="S10" s="89" t="e">
        <f>599*B8/100/S9</f>
        <v>#DIV/0!</v>
      </c>
      <c r="T10" s="89" t="e">
        <f>599*B8/100/T9</f>
        <v>#DIV/0!</v>
      </c>
      <c r="U10" s="89" t="e">
        <f>599*B8/100/U9</f>
        <v>#DIV/0!</v>
      </c>
      <c r="V10" s="89" t="e">
        <f>599*B8/100/V9</f>
        <v>#DIV/0!</v>
      </c>
      <c r="W10" s="89" t="e">
        <f>599*B8/100/W9</f>
        <v>#DIV/0!</v>
      </c>
      <c r="X10" s="89" t="e">
        <f>599*B8/100/X9</f>
        <v>#DIV/0!</v>
      </c>
      <c r="Y10" s="89" t="e">
        <f>599*B8/100/Y9</f>
        <v>#DIV/0!</v>
      </c>
      <c r="Z10" s="89" t="e">
        <f>599*B8/100/Z9</f>
        <v>#DIV/0!</v>
      </c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</row>
    <row r="11" spans="1:54" ht="21" x14ac:dyDescent="0.35">
      <c r="A11" s="89" t="s">
        <v>33</v>
      </c>
      <c r="B11" s="89" t="s">
        <v>60</v>
      </c>
      <c r="C11" s="201"/>
      <c r="D11" s="202"/>
      <c r="E11" s="202">
        <v>0</v>
      </c>
      <c r="F11" s="202">
        <f>C10+D10</f>
        <v>18</v>
      </c>
      <c r="G11" s="202"/>
      <c r="H11" s="202"/>
      <c r="I11" s="202"/>
      <c r="J11" s="202" t="e">
        <f>J10+O10</f>
        <v>#DIV/0!</v>
      </c>
      <c r="K11" s="202"/>
      <c r="L11" s="202"/>
      <c r="M11" s="202"/>
      <c r="N11" s="202"/>
      <c r="O11" s="202"/>
      <c r="P11" s="202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</row>
    <row r="12" spans="1:54" ht="21" x14ac:dyDescent="0.35">
      <c r="A12" s="89"/>
      <c r="B12" s="139" t="s">
        <v>61</v>
      </c>
      <c r="C12" s="196" t="e">
        <f>K10+J10</f>
        <v>#DIV/0!</v>
      </c>
      <c r="D12" s="89"/>
      <c r="E12" s="208" t="s">
        <v>171</v>
      </c>
      <c r="F12" s="89" t="e">
        <f>C10+D10+E10</f>
        <v>#DIV/0!</v>
      </c>
      <c r="G12" s="89"/>
      <c r="H12" s="89" t="s">
        <v>179</v>
      </c>
      <c r="I12" s="89" t="s">
        <v>172</v>
      </c>
      <c r="J12" s="179" t="s">
        <v>13</v>
      </c>
      <c r="K12" s="179" t="s">
        <v>16</v>
      </c>
      <c r="L12" s="89"/>
      <c r="M12" s="89"/>
      <c r="N12" s="209" t="s">
        <v>15</v>
      </c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</row>
    <row r="13" spans="1:54" ht="28.5" x14ac:dyDescent="0.45">
      <c r="A13" s="89"/>
      <c r="B13" s="89" t="s">
        <v>14</v>
      </c>
      <c r="C13" s="180" t="s">
        <v>56</v>
      </c>
      <c r="D13" s="180" t="s">
        <v>15</v>
      </c>
      <c r="E13" s="181" t="s">
        <v>8</v>
      </c>
      <c r="F13" s="180" t="s">
        <v>9</v>
      </c>
      <c r="G13" s="180" t="s">
        <v>57</v>
      </c>
      <c r="H13" s="181" t="s">
        <v>58</v>
      </c>
      <c r="I13" s="180" t="s">
        <v>77</v>
      </c>
      <c r="J13" s="181" t="s">
        <v>13</v>
      </c>
      <c r="K13" s="180" t="s">
        <v>16</v>
      </c>
      <c r="L13" s="180" t="s">
        <v>55</v>
      </c>
      <c r="M13" s="181" t="s">
        <v>44</v>
      </c>
      <c r="N13" s="181" t="s">
        <v>10</v>
      </c>
      <c r="O13" s="180" t="s">
        <v>12</v>
      </c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266" t="s">
        <v>14</v>
      </c>
      <c r="AB13" s="266" t="s">
        <v>15</v>
      </c>
      <c r="AC13" s="266" t="s">
        <v>8</v>
      </c>
      <c r="AD13" s="266" t="s">
        <v>9</v>
      </c>
      <c r="AE13" s="266" t="s">
        <v>234</v>
      </c>
      <c r="AF13" s="266" t="s">
        <v>56</v>
      </c>
      <c r="AG13" s="266" t="s">
        <v>57</v>
      </c>
      <c r="AH13" s="266" t="s">
        <v>58</v>
      </c>
      <c r="AI13" s="266" t="s">
        <v>77</v>
      </c>
      <c r="AJ13" s="267" t="s">
        <v>204</v>
      </c>
      <c r="AK13" s="266" t="s">
        <v>16</v>
      </c>
      <c r="AL13" s="266" t="s">
        <v>13</v>
      </c>
      <c r="AM13" s="266" t="s">
        <v>44</v>
      </c>
      <c r="AN13" s="266" t="s">
        <v>55</v>
      </c>
      <c r="AO13" s="266" t="s">
        <v>17</v>
      </c>
      <c r="AP13" s="266" t="s">
        <v>80</v>
      </c>
      <c r="AQ13" s="266" t="s">
        <v>81</v>
      </c>
      <c r="AR13" s="266" t="s">
        <v>82</v>
      </c>
      <c r="AS13" s="266" t="s">
        <v>83</v>
      </c>
      <c r="AT13" s="266" t="s">
        <v>45</v>
      </c>
      <c r="AU13" s="266" t="s">
        <v>43</v>
      </c>
      <c r="AV13" s="266" t="s">
        <v>12</v>
      </c>
      <c r="AW13" s="266" t="s">
        <v>0</v>
      </c>
      <c r="AX13" s="266" t="s">
        <v>11</v>
      </c>
      <c r="AY13" s="266" t="s">
        <v>10</v>
      </c>
      <c r="AZ13" s="89"/>
      <c r="BA13" s="89"/>
      <c r="BB13" s="89"/>
    </row>
    <row r="14" spans="1:54" ht="21" x14ac:dyDescent="0.35">
      <c r="A14" s="89" t="s">
        <v>39</v>
      </c>
      <c r="B14" s="89">
        <f>100-(C14+D14+E14+F14+G14+H14+I14+J14+K14+L14+M14+N14+O14)</f>
        <v>92.97186012336833</v>
      </c>
      <c r="C14" s="89">
        <f>C5-C1</f>
        <v>1.669449081803005</v>
      </c>
      <c r="D14" s="89">
        <f>D5-D1</f>
        <v>1.335559265442404</v>
      </c>
      <c r="E14" s="89">
        <v>0</v>
      </c>
      <c r="F14" s="89">
        <f t="shared" ref="F14:I14" si="3">F5</f>
        <v>0</v>
      </c>
      <c r="G14" s="89">
        <f t="shared" si="3"/>
        <v>0.93961664760434727</v>
      </c>
      <c r="H14" s="89">
        <f t="shared" si="3"/>
        <v>0</v>
      </c>
      <c r="I14" s="89">
        <f t="shared" si="3"/>
        <v>0</v>
      </c>
      <c r="J14" s="89">
        <f>J5-J1</f>
        <v>0</v>
      </c>
      <c r="K14" s="89">
        <f>K5-K1</f>
        <v>0</v>
      </c>
      <c r="L14" s="89">
        <f t="shared" ref="L14:O14" si="4">L5</f>
        <v>1.6006086588236572</v>
      </c>
      <c r="M14" s="89">
        <f t="shared" si="4"/>
        <v>0</v>
      </c>
      <c r="N14" s="89">
        <f t="shared" si="4"/>
        <v>1.3740766327042508</v>
      </c>
      <c r="O14" s="89">
        <f t="shared" si="4"/>
        <v>0.10882959025400381</v>
      </c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189">
        <v>55.84</v>
      </c>
      <c r="AB14" s="89">
        <v>28.0855</v>
      </c>
      <c r="AC14" s="89">
        <v>58.693399999999997</v>
      </c>
      <c r="AD14" s="89">
        <v>63.545999999999999</v>
      </c>
      <c r="AE14" s="89">
        <v>65.38</v>
      </c>
      <c r="AF14" s="89">
        <v>12.01</v>
      </c>
      <c r="AG14" s="89">
        <v>30.973762000000001</v>
      </c>
      <c r="AH14" s="89">
        <v>32.064999999999998</v>
      </c>
      <c r="AI14" s="89">
        <v>14.0067</v>
      </c>
      <c r="AJ14" s="89">
        <v>10.81</v>
      </c>
      <c r="AK14" s="89">
        <v>54.938043999999998</v>
      </c>
      <c r="AL14" s="89">
        <v>24.305</v>
      </c>
      <c r="AM14" s="89">
        <v>51.996099999999998</v>
      </c>
      <c r="AN14" s="89">
        <v>95.95</v>
      </c>
      <c r="AO14" s="89">
        <v>47.866999999999997</v>
      </c>
      <c r="AP14" s="89">
        <v>50.941499999999998</v>
      </c>
      <c r="AQ14" s="89">
        <v>92.906369999999995</v>
      </c>
      <c r="AR14" s="89">
        <v>183.84</v>
      </c>
      <c r="AS14" s="89">
        <v>180.94788</v>
      </c>
      <c r="AT14" s="89">
        <v>91.224000000000004</v>
      </c>
      <c r="AU14" s="89">
        <v>58.933194999999998</v>
      </c>
      <c r="AV14" s="89">
        <v>26.981539999999999</v>
      </c>
      <c r="AW14" s="89">
        <v>121.76</v>
      </c>
      <c r="AX14" s="89">
        <v>207.2</v>
      </c>
      <c r="AY14" s="89">
        <v>118.71</v>
      </c>
      <c r="AZ14" s="89"/>
      <c r="BA14" s="89"/>
      <c r="BB14" s="89"/>
    </row>
    <row r="15" spans="1:54" ht="21" x14ac:dyDescent="0.3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</row>
    <row r="16" spans="1:54" ht="21" x14ac:dyDescent="0.3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</row>
    <row r="17" spans="1:54" ht="21" x14ac:dyDescent="0.35">
      <c r="A17" s="89"/>
      <c r="B17" s="210" t="s">
        <v>14</v>
      </c>
      <c r="C17" s="210" t="s">
        <v>15</v>
      </c>
      <c r="D17" s="210" t="s">
        <v>8</v>
      </c>
      <c r="E17" s="210" t="s">
        <v>9</v>
      </c>
      <c r="F17" s="210" t="s">
        <v>234</v>
      </c>
      <c r="G17" s="210" t="s">
        <v>56</v>
      </c>
      <c r="H17" s="210" t="s">
        <v>57</v>
      </c>
      <c r="I17" s="210" t="s">
        <v>58</v>
      </c>
      <c r="J17" s="210" t="s">
        <v>77</v>
      </c>
      <c r="K17" s="210" t="s">
        <v>204</v>
      </c>
      <c r="L17" s="210" t="s">
        <v>16</v>
      </c>
      <c r="M17" s="210" t="s">
        <v>13</v>
      </c>
      <c r="N17" s="210" t="s">
        <v>44</v>
      </c>
      <c r="O17" s="210" t="s">
        <v>55</v>
      </c>
      <c r="P17" s="210" t="s">
        <v>17</v>
      </c>
      <c r="Q17" s="210" t="s">
        <v>80</v>
      </c>
      <c r="R17" s="210" t="s">
        <v>81</v>
      </c>
      <c r="S17" s="210" t="s">
        <v>82</v>
      </c>
      <c r="T17" s="210" t="s">
        <v>83</v>
      </c>
      <c r="U17" s="210" t="s">
        <v>45</v>
      </c>
      <c r="V17" s="210" t="s">
        <v>43</v>
      </c>
      <c r="W17" s="210" t="s">
        <v>12</v>
      </c>
      <c r="X17" s="210" t="s">
        <v>0</v>
      </c>
      <c r="Y17" s="210" t="s">
        <v>11</v>
      </c>
      <c r="Z17" s="210" t="s">
        <v>10</v>
      </c>
      <c r="AA17" s="211" t="s">
        <v>14</v>
      </c>
      <c r="AB17" s="212" t="s">
        <v>15</v>
      </c>
      <c r="AC17" s="213" t="s">
        <v>8</v>
      </c>
      <c r="AD17" s="214" t="s">
        <v>9</v>
      </c>
      <c r="AE17" s="213" t="s">
        <v>234</v>
      </c>
      <c r="AF17" s="213" t="s">
        <v>56</v>
      </c>
      <c r="AG17" s="214" t="s">
        <v>57</v>
      </c>
      <c r="AH17" s="213" t="s">
        <v>58</v>
      </c>
      <c r="AI17" s="215" t="s">
        <v>77</v>
      </c>
      <c r="AJ17" s="216" t="s">
        <v>204</v>
      </c>
      <c r="AK17" s="216" t="s">
        <v>16</v>
      </c>
      <c r="AL17" s="210" t="s">
        <v>13</v>
      </c>
      <c r="AM17" s="215" t="s">
        <v>44</v>
      </c>
      <c r="AN17" s="216" t="s">
        <v>55</v>
      </c>
      <c r="AO17" s="210" t="s">
        <v>17</v>
      </c>
      <c r="AP17" s="210" t="s">
        <v>80</v>
      </c>
      <c r="AQ17" s="210" t="s">
        <v>81</v>
      </c>
      <c r="AR17" s="210" t="s">
        <v>82</v>
      </c>
      <c r="AS17" s="210" t="s">
        <v>83</v>
      </c>
      <c r="AT17" s="210" t="s">
        <v>45</v>
      </c>
      <c r="AU17" s="210" t="s">
        <v>43</v>
      </c>
      <c r="AV17" s="210" t="s">
        <v>12</v>
      </c>
      <c r="AW17" s="210" t="s">
        <v>0</v>
      </c>
      <c r="AX17" s="210" t="s">
        <v>11</v>
      </c>
      <c r="AY17" s="210" t="s">
        <v>10</v>
      </c>
      <c r="AZ17" s="89"/>
      <c r="BA17" s="89"/>
      <c r="BB17" s="89"/>
    </row>
    <row r="18" spans="1:54" ht="21" x14ac:dyDescent="0.35">
      <c r="A18" s="179" t="s">
        <v>168</v>
      </c>
      <c r="B18" s="217">
        <f>100-C18-D18-E18-F18-G18-H18-I18-J18-K18-L18-M18-N18-O18-P18-Q18-R18-S18-T18-U18-V18-W18-X18-Y18-Z18</f>
        <v>90.125970332746903</v>
      </c>
      <c r="C18" s="218">
        <f>C2</f>
        <v>1.669449081803005</v>
      </c>
      <c r="D18" s="218">
        <f>D2</f>
        <v>1.335559265442404</v>
      </c>
      <c r="E18" s="218">
        <f>E4</f>
        <v>0</v>
      </c>
      <c r="F18" s="218">
        <f>F4</f>
        <v>0</v>
      </c>
      <c r="G18" s="218">
        <f>G2</f>
        <v>3.672787979966611</v>
      </c>
      <c r="H18" s="218">
        <f>H4</f>
        <v>8.8718546811123438E-3</v>
      </c>
      <c r="I18" s="218">
        <f t="shared" ref="I18:Z18" si="5">I4</f>
        <v>1.7139854382745025E-3</v>
      </c>
      <c r="J18" s="218">
        <f t="shared" si="5"/>
        <v>3.9237609914021089E-3</v>
      </c>
      <c r="K18" s="218">
        <f t="shared" si="5"/>
        <v>7.6261253115085933E-3</v>
      </c>
      <c r="L18" s="218">
        <f>L2</f>
        <v>1.669449081803005</v>
      </c>
      <c r="M18" s="218">
        <f>M4</f>
        <v>2.2612196288118464E-3</v>
      </c>
      <c r="N18" s="218">
        <f>N2</f>
        <v>1.335559265442404</v>
      </c>
      <c r="O18" s="218">
        <f>O2</f>
        <v>0.11118530884808014</v>
      </c>
      <c r="P18" s="218">
        <f>P4</f>
        <v>0</v>
      </c>
      <c r="Q18" s="218">
        <f>Q2</f>
        <v>5.5642737896494154E-2</v>
      </c>
      <c r="R18" s="218">
        <f>R4</f>
        <v>0</v>
      </c>
      <c r="S18" s="218">
        <f t="shared" si="5"/>
        <v>0</v>
      </c>
      <c r="T18" s="218">
        <f t="shared" si="5"/>
        <v>0</v>
      </c>
      <c r="U18" s="218">
        <f t="shared" si="5"/>
        <v>0</v>
      </c>
      <c r="V18" s="218">
        <f t="shared" si="5"/>
        <v>0</v>
      </c>
      <c r="W18" s="218">
        <f t="shared" si="5"/>
        <v>0</v>
      </c>
      <c r="X18" s="218">
        <f t="shared" si="5"/>
        <v>0</v>
      </c>
      <c r="Y18" s="218">
        <f t="shared" si="5"/>
        <v>0</v>
      </c>
      <c r="Z18" s="218">
        <f t="shared" si="5"/>
        <v>0</v>
      </c>
      <c r="AA18" s="219">
        <v>55.84</v>
      </c>
      <c r="AB18" s="219">
        <v>28.0855</v>
      </c>
      <c r="AC18" s="219">
        <v>58.693399999999997</v>
      </c>
      <c r="AD18" s="219">
        <v>63.545999999999999</v>
      </c>
      <c r="AE18" s="219">
        <v>65.38</v>
      </c>
      <c r="AF18" s="219">
        <v>12.01</v>
      </c>
      <c r="AG18" s="219">
        <v>30.973762000000001</v>
      </c>
      <c r="AH18" s="219">
        <v>32.064999999999998</v>
      </c>
      <c r="AI18" s="219">
        <v>14.0067</v>
      </c>
      <c r="AJ18" s="219">
        <v>10.81</v>
      </c>
      <c r="AK18" s="219">
        <v>54.938043999999998</v>
      </c>
      <c r="AL18" s="219">
        <v>24.305</v>
      </c>
      <c r="AM18" s="219">
        <v>51.996099999999998</v>
      </c>
      <c r="AN18" s="219">
        <v>95.95</v>
      </c>
      <c r="AO18" s="220">
        <v>47.866999999999997</v>
      </c>
      <c r="AP18" s="220">
        <v>50.941499999999998</v>
      </c>
      <c r="AQ18" s="220">
        <v>92.906369999999995</v>
      </c>
      <c r="AR18" s="220">
        <v>183.84</v>
      </c>
      <c r="AS18" s="220">
        <v>180.94788</v>
      </c>
      <c r="AT18" s="220">
        <v>91.224000000000004</v>
      </c>
      <c r="AU18" s="220">
        <v>58.933194999999998</v>
      </c>
      <c r="AV18" s="220">
        <v>26.981539999999999</v>
      </c>
      <c r="AW18" s="219">
        <v>121.76</v>
      </c>
      <c r="AX18" s="219">
        <v>207.2</v>
      </c>
      <c r="AY18" s="219">
        <v>118.71</v>
      </c>
      <c r="AZ18" s="89"/>
      <c r="BA18" s="89"/>
      <c r="BB18" s="89"/>
    </row>
    <row r="19" spans="1:54" ht="21" x14ac:dyDescent="0.35">
      <c r="A19" s="179" t="s">
        <v>169</v>
      </c>
      <c r="B19" s="217">
        <f>100*((((B18)*(AA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93.592005467415035</v>
      </c>
      <c r="C19" s="217">
        <f>100*((((C18)*(AB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0.87196434683204349</v>
      </c>
      <c r="D19" s="217">
        <f>100*((((D18)*(AC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1.4577928737420194</v>
      </c>
      <c r="E19" s="217">
        <f>100*((((E18)*(AD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F19" s="217">
        <f>100*((((F18)*(AE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G19" s="217">
        <f>100*((((G18)*(AF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0.82031802787902119</v>
      </c>
      <c r="H19" s="217">
        <f>100*((((H18)*(AG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5.1103631951346911E-3</v>
      </c>
      <c r="I19" s="217">
        <f>100*((((I18)*(AH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1.0220726390269381E-3</v>
      </c>
      <c r="J19" s="217">
        <f>100*((((J18)*(AI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1.0220726390269381E-3</v>
      </c>
      <c r="K19" s="217">
        <f>100*((((K18)*(AJ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1.5331089585404077E-3</v>
      </c>
      <c r="L19" s="217">
        <f>100*((((L18)*(AK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1.7056493796688703</v>
      </c>
      <c r="M19" s="217">
        <f>100*((((M18)*(AL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1.0220726390269383E-3</v>
      </c>
      <c r="N19" s="217">
        <f>100*((((N18)*(AM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1.2914491926243397</v>
      </c>
      <c r="O19" s="217">
        <f>100*((((O18)*(AN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0.19839730845562309</v>
      </c>
      <c r="P19" s="217">
        <f>100*((((P18)*(AO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Q19" s="217">
        <f>100*((((Q18)*(AP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5.2713713312287025E-2</v>
      </c>
      <c r="R19" s="217">
        <f>100*((((R18)*(AQ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S19" s="217">
        <f>100*((((S18)*(AR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T19" s="217">
        <f>100*((((T18)*(AS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U19" s="217">
        <f>100*((((U18)*(AT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V19" s="217">
        <f>100*((((V18)*(AU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W19" s="217">
        <f>100*((((W18)*(AV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X19" s="219">
        <f>100*((((X18)*(AW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Y19" s="219">
        <f>100*((((Y18)*(AX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Z19" s="219">
        <f>100*((((Z18)*(AY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W18))+((Y18)*(AX18))+((Z18)*(AY18)))))</f>
        <v>0</v>
      </c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89"/>
      <c r="BA19" s="89"/>
      <c r="BB19" s="89"/>
    </row>
    <row r="20" spans="1:54" ht="21" x14ac:dyDescent="0.35">
      <c r="A20" s="89"/>
      <c r="B20" s="89"/>
      <c r="C20" s="89"/>
      <c r="D20" s="89"/>
      <c r="E20" s="89">
        <f>E19/'opt 1'!G6</f>
        <v>0</v>
      </c>
      <c r="F20" s="89">
        <f>F19/'opt 1'!G6</f>
        <v>0</v>
      </c>
      <c r="G20" s="89">
        <f>G19/'opt 1'!G6</f>
        <v>0.80353540507168075</v>
      </c>
      <c r="H20" s="89">
        <f>H19/'opt 1'!G6</f>
        <v>5.0058119174622839E-3</v>
      </c>
      <c r="I20" s="89">
        <f>I19/'opt 1'!G6</f>
        <v>1.0011623834924566E-3</v>
      </c>
      <c r="J20" s="89"/>
      <c r="K20" s="89"/>
      <c r="L20" s="89">
        <f>L19/'opt 1'!G6</f>
        <v>1.6707540473615099</v>
      </c>
      <c r="M20" s="89">
        <f>M19/'opt 1'!G6</f>
        <v>1.0011623834924569E-3</v>
      </c>
      <c r="N20" s="89">
        <f>N19/'opt 1'!G6</f>
        <v>1.2650278487820035</v>
      </c>
      <c r="O20" s="89">
        <f>O19/'opt 1'!G6</f>
        <v>0.1943383617049205</v>
      </c>
      <c r="P20" s="89">
        <f>P19/'opt 1'!G6</f>
        <v>0</v>
      </c>
      <c r="Q20" s="89">
        <f>Q19/'opt 1'!G6</f>
        <v>5.1635260398626488E-2</v>
      </c>
      <c r="R20" s="89">
        <f>R19/'opt 1'!G6</f>
        <v>0</v>
      </c>
      <c r="S20" s="89">
        <f>S19/'opt 1'!G6</f>
        <v>0</v>
      </c>
      <c r="T20" s="89">
        <f>T19/'opt 1'!G6</f>
        <v>0</v>
      </c>
      <c r="U20" s="89">
        <f>U19/'opt 1'!G6</f>
        <v>0</v>
      </c>
      <c r="V20" s="89">
        <f>V19/'opt 1'!G6</f>
        <v>0</v>
      </c>
      <c r="W20" s="89">
        <f>W19/'opt 1'!G6</f>
        <v>0</v>
      </c>
      <c r="X20" s="89">
        <f>X19/'opt 1'!G6</f>
        <v>0</v>
      </c>
      <c r="Y20" s="89">
        <f>Y19/'opt 1'!G6</f>
        <v>0</v>
      </c>
      <c r="Z20" s="89">
        <f>Z19/'opt 1'!G6</f>
        <v>0</v>
      </c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</row>
    <row r="21" spans="1:54" ht="21" x14ac:dyDescent="0.3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</row>
    <row r="22" spans="1:54" ht="21" x14ac:dyDescent="0.35">
      <c r="A22" s="89">
        <f>'OK OK'!A8</f>
        <v>0</v>
      </c>
      <c r="B22" s="89" t="str">
        <f>'OK OK'!B8</f>
        <v>Fe</v>
      </c>
      <c r="C22" s="89" t="str">
        <f>'OK OK'!C8</f>
        <v>Si</v>
      </c>
      <c r="D22" s="89" t="str">
        <f>'OK OK'!D8</f>
        <v>Ni</v>
      </c>
      <c r="E22" s="89" t="str">
        <f>'OK OK'!E8</f>
        <v>Cu</v>
      </c>
      <c r="F22" s="89" t="str">
        <f>'OK OK'!F8</f>
        <v>Zn</v>
      </c>
      <c r="G22" s="89" t="str">
        <f>'OK OK'!G8</f>
        <v>C</v>
      </c>
      <c r="H22" s="89" t="str">
        <f>'OK OK'!H8</f>
        <v>P</v>
      </c>
      <c r="I22" s="89" t="str">
        <f>'OK OK'!I8</f>
        <v>S</v>
      </c>
      <c r="J22" s="89" t="str">
        <f>'OK OK'!J8</f>
        <v>N</v>
      </c>
      <c r="K22" s="89" t="str">
        <f>'OK OK'!K8</f>
        <v>B</v>
      </c>
      <c r="L22" s="89" t="str">
        <f>'OK OK'!L8</f>
        <v>Mn</v>
      </c>
      <c r="M22" s="89" t="str">
        <f>'OK OK'!M8</f>
        <v>Mg</v>
      </c>
      <c r="N22" s="89" t="str">
        <f>'OK OK'!N8</f>
        <v>Cr</v>
      </c>
      <c r="O22" s="89" t="str">
        <f>'OK OK'!O8</f>
        <v>Mo</v>
      </c>
      <c r="P22" s="89" t="str">
        <f>'OK OK'!P8</f>
        <v>Ti</v>
      </c>
      <c r="Q22" s="89" t="str">
        <f>'OK OK'!Q8</f>
        <v>V</v>
      </c>
      <c r="R22" s="89" t="str">
        <f>'OK OK'!R8</f>
        <v>Nb</v>
      </c>
      <c r="S22" s="89" t="str">
        <f>'OK OK'!S8</f>
        <v>W</v>
      </c>
      <c r="T22" s="89" t="str">
        <f>'OK OK'!T8</f>
        <v>Ta</v>
      </c>
      <c r="U22" s="89" t="str">
        <f>'OK OK'!U8</f>
        <v>Zr</v>
      </c>
      <c r="V22" s="89" t="str">
        <f>'OK OK'!V8</f>
        <v>Co</v>
      </c>
      <c r="W22" s="89" t="str">
        <f>'OK OK'!W8</f>
        <v>La</v>
      </c>
      <c r="X22" s="89" t="str">
        <f>'OK OK'!X8</f>
        <v>Sb</v>
      </c>
      <c r="Y22" s="89" t="str">
        <f>'OK OK'!Y8</f>
        <v>Pb</v>
      </c>
      <c r="Z22" s="89" t="str">
        <f>'OK OK'!Z8</f>
        <v>Sn</v>
      </c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</row>
    <row r="23" spans="1:54" ht="21" x14ac:dyDescent="0.35">
      <c r="A23" s="89" t="str">
        <f>'OK OK'!A9</f>
        <v>Optimized composition</v>
      </c>
      <c r="B23" s="89">
        <f>'OK OK'!B9</f>
        <v>93.598807806106706</v>
      </c>
      <c r="C23" s="89">
        <f>'OK OK'!C9</f>
        <v>0.8717917293387516</v>
      </c>
      <c r="D23" s="89">
        <f>'OK OK'!D9</f>
        <v>1.4575042833282961</v>
      </c>
      <c r="E23" s="89">
        <f>'OK OK'!E9</f>
        <v>0</v>
      </c>
      <c r="F23" s="89">
        <f>'OK OK'!F9</f>
        <v>0</v>
      </c>
      <c r="G23" s="89">
        <f>'OK OK'!G9</f>
        <v>0.81481738515196134</v>
      </c>
      <c r="H23" s="89">
        <f>'OK OK'!H9</f>
        <v>5.0064370348226889E-3</v>
      </c>
      <c r="I23" s="89">
        <f>'OK OK'!I9</f>
        <v>1.0012874069645378E-3</v>
      </c>
      <c r="J23" s="89">
        <f>'OK OK'!J9</f>
        <v>1.0012874069645376E-3</v>
      </c>
      <c r="K23" s="89">
        <f>'OK OK'!K9</f>
        <v>1.5019311104468066E-3</v>
      </c>
      <c r="L23" s="89">
        <f>'OK OK'!L9</f>
        <v>1.7053117226059147</v>
      </c>
      <c r="M23" s="89">
        <f>'OK OK'!M9</f>
        <v>1.0012874069645376E-3</v>
      </c>
      <c r="N23" s="89">
        <f>'OK OK'!N9</f>
        <v>1.2911935322602954</v>
      </c>
      <c r="O23" s="89">
        <f>'OK OK'!O9</f>
        <v>0.19835803294374477</v>
      </c>
      <c r="P23" s="89">
        <f>'OK OK'!P9</f>
        <v>0</v>
      </c>
      <c r="Q23" s="89">
        <f>'OK OK'!Q9</f>
        <v>5.2703277898170461E-2</v>
      </c>
      <c r="R23" s="89">
        <f>'OK OK'!R9</f>
        <v>0</v>
      </c>
      <c r="S23" s="89">
        <f>'OK OK'!S9</f>
        <v>0</v>
      </c>
      <c r="T23" s="89">
        <f>'OK OK'!T9</f>
        <v>0</v>
      </c>
      <c r="U23" s="89">
        <f>'OK OK'!U9</f>
        <v>0</v>
      </c>
      <c r="V23" s="89">
        <f>'OK OK'!V9</f>
        <v>0</v>
      </c>
      <c r="W23" s="89">
        <f>'OK OK'!W9</f>
        <v>0</v>
      </c>
      <c r="X23" s="89">
        <f>'OK OK'!X9</f>
        <v>0</v>
      </c>
      <c r="Y23" s="89">
        <f>'OK OK'!Y9</f>
        <v>0</v>
      </c>
      <c r="Z23" s="89">
        <f>'OK OK'!Z9</f>
        <v>0</v>
      </c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</row>
    <row r="24" spans="1:54" ht="21" x14ac:dyDescent="0.3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</row>
    <row r="25" spans="1:54" ht="21" x14ac:dyDescent="0.35">
      <c r="A25" s="89"/>
      <c r="B25" s="197" t="s">
        <v>14</v>
      </c>
      <c r="C25" s="197" t="s">
        <v>56</v>
      </c>
      <c r="D25" s="197" t="s">
        <v>15</v>
      </c>
      <c r="E25" s="197" t="s">
        <v>8</v>
      </c>
      <c r="F25" s="197" t="s">
        <v>9</v>
      </c>
      <c r="G25" s="197" t="s">
        <v>57</v>
      </c>
      <c r="H25" s="197" t="s">
        <v>58</v>
      </c>
      <c r="I25" s="197" t="s">
        <v>77</v>
      </c>
      <c r="J25" s="197" t="s">
        <v>13</v>
      </c>
      <c r="K25" s="197" t="s">
        <v>16</v>
      </c>
      <c r="L25" s="197" t="s">
        <v>55</v>
      </c>
      <c r="M25" s="197" t="s">
        <v>44</v>
      </c>
      <c r="N25" s="197" t="s">
        <v>10</v>
      </c>
      <c r="O25" s="197" t="s">
        <v>12</v>
      </c>
      <c r="P25" s="197" t="s">
        <v>80</v>
      </c>
      <c r="Q25" s="197" t="s">
        <v>81</v>
      </c>
      <c r="R25" s="197" t="s">
        <v>82</v>
      </c>
      <c r="S25" s="197" t="s">
        <v>83</v>
      </c>
      <c r="T25" s="197" t="s">
        <v>45</v>
      </c>
      <c r="U25" s="197" t="s">
        <v>17</v>
      </c>
      <c r="V25" s="197" t="s">
        <v>84</v>
      </c>
      <c r="W25" s="197" t="s">
        <v>0</v>
      </c>
      <c r="X25" s="197" t="s">
        <v>11</v>
      </c>
      <c r="Y25" s="197" t="s">
        <v>10</v>
      </c>
      <c r="Z25" s="197" t="s">
        <v>46</v>
      </c>
      <c r="AA25" s="182" t="s">
        <v>14</v>
      </c>
      <c r="AB25" s="183" t="s">
        <v>15</v>
      </c>
      <c r="AC25" s="184" t="s">
        <v>8</v>
      </c>
      <c r="AD25" s="185" t="s">
        <v>9</v>
      </c>
      <c r="AE25" s="184" t="s">
        <v>234</v>
      </c>
      <c r="AF25" s="184" t="s">
        <v>56</v>
      </c>
      <c r="AG25" s="185" t="s">
        <v>57</v>
      </c>
      <c r="AH25" s="184" t="s">
        <v>58</v>
      </c>
      <c r="AI25" s="186" t="s">
        <v>77</v>
      </c>
      <c r="AJ25" s="187" t="s">
        <v>204</v>
      </c>
      <c r="AK25" s="187" t="s">
        <v>16</v>
      </c>
      <c r="AL25" s="188" t="s">
        <v>13</v>
      </c>
      <c r="AM25" s="188" t="s">
        <v>44</v>
      </c>
      <c r="AN25" s="187" t="s">
        <v>55</v>
      </c>
      <c r="AO25" s="178" t="s">
        <v>17</v>
      </c>
      <c r="AP25" s="178" t="s">
        <v>80</v>
      </c>
      <c r="AQ25" s="178" t="s">
        <v>81</v>
      </c>
      <c r="AR25" s="178" t="s">
        <v>82</v>
      </c>
      <c r="AS25" s="178" t="s">
        <v>83</v>
      </c>
      <c r="AT25" s="178" t="s">
        <v>45</v>
      </c>
      <c r="AU25" s="186" t="s">
        <v>43</v>
      </c>
      <c r="AV25" s="178" t="s">
        <v>12</v>
      </c>
      <c r="AW25" s="178" t="s">
        <v>0</v>
      </c>
      <c r="AX25" s="178" t="s">
        <v>11</v>
      </c>
      <c r="AY25" s="178" t="s">
        <v>10</v>
      </c>
      <c r="AZ25" s="89"/>
      <c r="BA25" s="89"/>
      <c r="BB25" s="89"/>
    </row>
    <row r="26" spans="1:54" ht="21" x14ac:dyDescent="0.35">
      <c r="A26" s="89"/>
      <c r="B26" s="139">
        <f>100-C26-D26-E26-F26-G26-H26-I26-J26-K26-L26-M26-N26-O26-P26-Q26-R26-S26-T26-U26-V26-W26-X26-Y26-Z26</f>
        <v>93.598807806106706</v>
      </c>
      <c r="C26" s="177">
        <f>C23</f>
        <v>0.8717917293387516</v>
      </c>
      <c r="D26" s="177">
        <f>D23</f>
        <v>1.4575042833282961</v>
      </c>
      <c r="E26" s="177">
        <f>E23</f>
        <v>0</v>
      </c>
      <c r="F26" s="177">
        <f>F23</f>
        <v>0</v>
      </c>
      <c r="G26" s="177">
        <f t="shared" ref="G26:Z26" si="6">G23</f>
        <v>0.81481738515196134</v>
      </c>
      <c r="H26" s="177">
        <f t="shared" si="6"/>
        <v>5.0064370348226889E-3</v>
      </c>
      <c r="I26" s="177">
        <f t="shared" si="6"/>
        <v>1.0012874069645378E-3</v>
      </c>
      <c r="J26" s="177">
        <f t="shared" si="6"/>
        <v>1.0012874069645376E-3</v>
      </c>
      <c r="K26" s="177">
        <f t="shared" si="6"/>
        <v>1.5019311104468066E-3</v>
      </c>
      <c r="L26" s="177">
        <f t="shared" si="6"/>
        <v>1.7053117226059147</v>
      </c>
      <c r="M26" s="177">
        <f t="shared" si="6"/>
        <v>1.0012874069645376E-3</v>
      </c>
      <c r="N26" s="177">
        <f t="shared" si="6"/>
        <v>1.2911935322602954</v>
      </c>
      <c r="O26" s="177">
        <f t="shared" si="6"/>
        <v>0.19835803294374477</v>
      </c>
      <c r="P26" s="177">
        <f t="shared" si="6"/>
        <v>0</v>
      </c>
      <c r="Q26" s="177">
        <f t="shared" si="6"/>
        <v>5.2703277898170461E-2</v>
      </c>
      <c r="R26" s="177">
        <f t="shared" si="6"/>
        <v>0</v>
      </c>
      <c r="S26" s="177">
        <f t="shared" si="6"/>
        <v>0</v>
      </c>
      <c r="T26" s="177">
        <f t="shared" si="6"/>
        <v>0</v>
      </c>
      <c r="U26" s="177">
        <f t="shared" si="6"/>
        <v>0</v>
      </c>
      <c r="V26" s="177">
        <f t="shared" si="6"/>
        <v>0</v>
      </c>
      <c r="W26" s="177">
        <f t="shared" si="6"/>
        <v>0</v>
      </c>
      <c r="X26" s="177">
        <f t="shared" si="6"/>
        <v>0</v>
      </c>
      <c r="Y26" s="177">
        <f t="shared" si="6"/>
        <v>0</v>
      </c>
      <c r="Z26" s="177">
        <f t="shared" si="6"/>
        <v>0</v>
      </c>
      <c r="AA26" s="189">
        <v>55.84</v>
      </c>
      <c r="AB26" s="89">
        <v>28.0855</v>
      </c>
      <c r="AC26" s="89">
        <v>58.693399999999997</v>
      </c>
      <c r="AD26" s="89">
        <v>63.545999999999999</v>
      </c>
      <c r="AE26" s="89">
        <v>65.38</v>
      </c>
      <c r="AF26" s="89">
        <v>12.01</v>
      </c>
      <c r="AG26" s="89">
        <v>30.973762000000001</v>
      </c>
      <c r="AH26" s="89">
        <v>32.064999999999998</v>
      </c>
      <c r="AI26" s="89">
        <v>14.0067</v>
      </c>
      <c r="AJ26" s="89">
        <v>10.81</v>
      </c>
      <c r="AK26" s="89">
        <v>54.938043999999998</v>
      </c>
      <c r="AL26" s="89">
        <v>24.305</v>
      </c>
      <c r="AM26" s="89">
        <v>51.996099999999998</v>
      </c>
      <c r="AN26" s="89">
        <v>95.95</v>
      </c>
      <c r="AO26" s="89">
        <v>47.866999999999997</v>
      </c>
      <c r="AP26" s="89">
        <v>50.941499999999998</v>
      </c>
      <c r="AQ26" s="89">
        <v>92.906369999999995</v>
      </c>
      <c r="AR26" s="89">
        <v>183.84</v>
      </c>
      <c r="AS26" s="89">
        <v>180.94788</v>
      </c>
      <c r="AT26" s="89">
        <v>91.224000000000004</v>
      </c>
      <c r="AU26" s="89">
        <v>58.933194999999998</v>
      </c>
      <c r="AV26" s="89">
        <v>26.981539999999999</v>
      </c>
      <c r="AW26" s="89">
        <v>121.76</v>
      </c>
      <c r="AX26" s="89">
        <v>207.2</v>
      </c>
      <c r="AY26" s="89">
        <v>118.71</v>
      </c>
      <c r="AZ26" s="89"/>
      <c r="BA26" s="89"/>
      <c r="BB26" s="89"/>
    </row>
    <row r="27" spans="1:54" ht="21" x14ac:dyDescent="0.35">
      <c r="A27" s="89"/>
      <c r="B27" s="139">
        <f>100*((((B26)/(AA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90.150367278798015</v>
      </c>
      <c r="C27" s="139">
        <f>100*((((C26)/(AB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1.6694490818030052</v>
      </c>
      <c r="D27" s="139">
        <f>100*((((D26)/(AC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1.335559265442404</v>
      </c>
      <c r="E27" s="139">
        <f>100*((((E26)/(AD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0</v>
      </c>
      <c r="F27" s="139">
        <f>100*((((F26)/(AE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0</v>
      </c>
      <c r="G27" s="139">
        <f>100*((((G26)/(AF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3.6488824464387672</v>
      </c>
      <c r="H27" s="139">
        <f>100*((((H26)/(AG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8.6931544255249328E-3</v>
      </c>
      <c r="I27" s="139">
        <f>100*((((I26)/(AH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1.6794616947167073E-3</v>
      </c>
      <c r="J27" s="139">
        <f>100*((((J26)/(AI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3.8447271121028648E-3</v>
      </c>
      <c r="K27" s="139">
        <f>100*((((K26)/(AJ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7.4725170084770408E-3</v>
      </c>
      <c r="L27" s="139">
        <f>100*((((L26)/(AK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1.669449081803005</v>
      </c>
      <c r="M27" s="139">
        <f>100*((((M26)/(AL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2.2156732870228838E-3</v>
      </c>
      <c r="N27" s="139">
        <f>100*((((N26)/(AM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1.335559265442404</v>
      </c>
      <c r="O27" s="139">
        <f>100*((((O26)/(AN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0.11118530884808013</v>
      </c>
      <c r="P27" s="139">
        <f>100*((((P26)/(AO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0</v>
      </c>
      <c r="Q27" s="139">
        <f>100*((((Q26)/(AP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5.5642737896494161E-2</v>
      </c>
      <c r="R27" s="139">
        <f>100*((((R26)/(AQ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0</v>
      </c>
      <c r="S27" s="139">
        <f>100*((((S26)/(AR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0</v>
      </c>
      <c r="T27" s="139">
        <f>100*((((T26)/(AS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0</v>
      </c>
      <c r="U27" s="139">
        <f>100*((((U26)/(AT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0</v>
      </c>
      <c r="V27" s="139">
        <f>100*((((V26)/(AU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0</v>
      </c>
      <c r="W27" s="139">
        <f>100*((((W26)/(AV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0</v>
      </c>
      <c r="X27" s="89">
        <f>100*((((X26)/(AW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0</v>
      </c>
      <c r="Y27" s="89">
        <f>100*((((Y26)/(AX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0</v>
      </c>
      <c r="Z27" s="89">
        <f>100*((((Z26)/(AY26))/(((B26)/(AA26))+((C26)/(AB26))+((D26)/(AC26))+((E26)/(AD26))+((F26)/(AE26))+((G26)/(AF26))+((H26)/(AG26))+((I26)/(AH26))+((J26)/(AI26))+((K26)/(AJ26))+((L26)/(AK26))+((M26)/(AL26))+((N26)/(AM26))+((O26)/(AN26))+((P26)/(AO26))+((Q26)/(AP26))+((R26)/(AQ26))+((S26)/(AR26))+((T26)/(AS26))+((U26)/(AT26))+((V26)/(AU26))+((W26)/(AV26))+((X26)/(AW26))+((Y26)/(AX26))+((Z26)/(AY26)))))</f>
        <v>0</v>
      </c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</row>
    <row r="28" spans="1:54" ht="21" x14ac:dyDescent="0.35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</row>
    <row r="29" spans="1:54" ht="21" x14ac:dyDescent="0.35">
      <c r="A29" s="89" t="s">
        <v>162</v>
      </c>
      <c r="B29" s="89">
        <f>E4+F4+G4+H4+I4</f>
        <v>0.92580554167262463</v>
      </c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</row>
    <row r="30" spans="1:54" ht="21" x14ac:dyDescent="0.35">
      <c r="A30" s="89" t="s">
        <v>163</v>
      </c>
      <c r="B30" s="89">
        <f>E27+F27+G27+H27+I27</f>
        <v>3.659255062559009</v>
      </c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</row>
    <row r="31" spans="1:54" ht="21" x14ac:dyDescent="0.35">
      <c r="A31" s="89" t="s">
        <v>164</v>
      </c>
      <c r="B31" s="89">
        <f>B29-B30</f>
        <v>-2.7334495208863845</v>
      </c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</row>
    <row r="32" spans="1:54" ht="21" x14ac:dyDescent="0.35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</row>
    <row r="33" spans="1:54" ht="21" x14ac:dyDescent="0.35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</row>
    <row r="34" spans="1:54" ht="21" x14ac:dyDescent="0.35">
      <c r="A34" s="89"/>
      <c r="B34" s="138" t="s">
        <v>14</v>
      </c>
      <c r="C34" s="138" t="s">
        <v>56</v>
      </c>
      <c r="D34" s="138" t="s">
        <v>15</v>
      </c>
      <c r="E34" s="138" t="s">
        <v>8</v>
      </c>
      <c r="F34" s="138" t="s">
        <v>9</v>
      </c>
      <c r="G34" s="138" t="s">
        <v>57</v>
      </c>
      <c r="H34" s="138" t="s">
        <v>58</v>
      </c>
      <c r="I34" s="138" t="s">
        <v>77</v>
      </c>
      <c r="J34" s="138" t="s">
        <v>13</v>
      </c>
      <c r="K34" s="138" t="s">
        <v>16</v>
      </c>
      <c r="L34" s="138" t="s">
        <v>55</v>
      </c>
      <c r="M34" s="138" t="s">
        <v>44</v>
      </c>
      <c r="N34" s="138" t="s">
        <v>43</v>
      </c>
      <c r="O34" s="138" t="s">
        <v>12</v>
      </c>
      <c r="P34" s="178" t="s">
        <v>80</v>
      </c>
      <c r="Q34" s="178" t="s">
        <v>81</v>
      </c>
      <c r="R34" s="178" t="s">
        <v>82</v>
      </c>
      <c r="S34" s="178" t="s">
        <v>83</v>
      </c>
      <c r="T34" s="178" t="s">
        <v>45</v>
      </c>
      <c r="U34" s="178" t="s">
        <v>17</v>
      </c>
      <c r="V34" s="178" t="s">
        <v>84</v>
      </c>
      <c r="W34" s="178" t="s">
        <v>0</v>
      </c>
      <c r="X34" s="178" t="s">
        <v>11</v>
      </c>
      <c r="Y34" s="178" t="s">
        <v>10</v>
      </c>
      <c r="Z34" s="178" t="s">
        <v>46</v>
      </c>
      <c r="AA34" s="182" t="s">
        <v>14</v>
      </c>
      <c r="AB34" s="183" t="s">
        <v>56</v>
      </c>
      <c r="AC34" s="184" t="s">
        <v>15</v>
      </c>
      <c r="AD34" s="185" t="s">
        <v>8</v>
      </c>
      <c r="AE34" s="184" t="s">
        <v>9</v>
      </c>
      <c r="AF34" s="184" t="s">
        <v>57</v>
      </c>
      <c r="AG34" s="185" t="s">
        <v>58</v>
      </c>
      <c r="AH34" s="184" t="s">
        <v>77</v>
      </c>
      <c r="AI34" s="186" t="s">
        <v>204</v>
      </c>
      <c r="AJ34" s="187" t="s">
        <v>16</v>
      </c>
      <c r="AK34" s="187" t="s">
        <v>55</v>
      </c>
      <c r="AL34" s="188" t="s">
        <v>44</v>
      </c>
      <c r="AM34" s="188" t="s">
        <v>43</v>
      </c>
      <c r="AN34" s="187" t="s">
        <v>12</v>
      </c>
      <c r="AO34" s="178" t="s">
        <v>80</v>
      </c>
      <c r="AP34" s="178" t="s">
        <v>81</v>
      </c>
      <c r="AQ34" s="178" t="s">
        <v>82</v>
      </c>
      <c r="AR34" s="178" t="s">
        <v>83</v>
      </c>
      <c r="AS34" s="178" t="s">
        <v>45</v>
      </c>
      <c r="AT34" s="178" t="s">
        <v>17</v>
      </c>
      <c r="AU34" s="186" t="s">
        <v>13</v>
      </c>
      <c r="AV34" s="178" t="s">
        <v>0</v>
      </c>
      <c r="AW34" s="178" t="s">
        <v>11</v>
      </c>
      <c r="AX34" s="178" t="s">
        <v>10</v>
      </c>
      <c r="AY34" s="178" t="s">
        <v>46</v>
      </c>
      <c r="AZ34" s="89"/>
      <c r="BA34" s="89"/>
      <c r="BB34" s="89"/>
    </row>
    <row r="35" spans="1:54" ht="21" x14ac:dyDescent="0.35">
      <c r="A35" s="89"/>
      <c r="B35" s="139">
        <f>100-C35-D35-E35-F35-G35-H35-I35-J35-K35-L35-M35-N35-O35-P35-Q35-R35-S35-T35-U35-V35-W35-X35-Y35-Z35</f>
        <v>96.994991652754592</v>
      </c>
      <c r="C35" s="89">
        <f>C2</f>
        <v>1.669449081803005</v>
      </c>
      <c r="D35" s="89">
        <f>D2</f>
        <v>1.335559265442404</v>
      </c>
      <c r="E35" s="89"/>
      <c r="F35" s="89"/>
      <c r="G35" s="177"/>
      <c r="H35" s="177"/>
      <c r="I35" s="177"/>
      <c r="J35" s="89">
        <f>J2</f>
        <v>0</v>
      </c>
      <c r="K35" s="89">
        <f>K2</f>
        <v>0</v>
      </c>
      <c r="L35" s="177"/>
      <c r="M35" s="89"/>
      <c r="N35" s="177"/>
      <c r="O35" s="177"/>
      <c r="P35" s="89"/>
      <c r="Q35" s="89"/>
      <c r="R35" s="89"/>
      <c r="S35" s="89"/>
      <c r="T35" s="177"/>
      <c r="U35" s="177"/>
      <c r="V35" s="177"/>
      <c r="W35" s="177"/>
      <c r="X35" s="177"/>
      <c r="Y35" s="177"/>
      <c r="Z35" s="177"/>
      <c r="AA35" s="189">
        <v>55.84</v>
      </c>
      <c r="AB35" s="89">
        <v>12.01</v>
      </c>
      <c r="AC35" s="89">
        <v>28.0855</v>
      </c>
      <c r="AD35" s="89">
        <v>58.693399999999997</v>
      </c>
      <c r="AE35" s="89">
        <v>63.545999999999999</v>
      </c>
      <c r="AF35" s="89">
        <v>30.973762000000001</v>
      </c>
      <c r="AG35" s="89">
        <v>32.064999999999998</v>
      </c>
      <c r="AH35" s="89">
        <v>14.0067</v>
      </c>
      <c r="AI35" s="89">
        <v>10.81</v>
      </c>
      <c r="AJ35" s="89">
        <v>54.938043999999998</v>
      </c>
      <c r="AK35" s="89">
        <v>95.95</v>
      </c>
      <c r="AL35" s="89">
        <v>51.996099999999998</v>
      </c>
      <c r="AM35" s="89">
        <v>58.933194999999998</v>
      </c>
      <c r="AN35" s="89">
        <v>26.981539999999999</v>
      </c>
      <c r="AO35" s="89">
        <v>50.941499999999998</v>
      </c>
      <c r="AP35" s="89">
        <v>92.906369999999995</v>
      </c>
      <c r="AQ35" s="89">
        <v>183.84</v>
      </c>
      <c r="AR35" s="89">
        <v>180.94788</v>
      </c>
      <c r="AS35" s="89">
        <v>91.224000000000004</v>
      </c>
      <c r="AT35" s="89">
        <v>47.866999999999997</v>
      </c>
      <c r="AU35" s="89">
        <v>24.305</v>
      </c>
      <c r="AV35" s="89">
        <v>121.76</v>
      </c>
      <c r="AW35" s="89">
        <v>207.2</v>
      </c>
      <c r="AX35" s="89">
        <v>118.71</v>
      </c>
      <c r="AY35" s="89">
        <v>208.9804</v>
      </c>
      <c r="AZ35" s="89"/>
      <c r="BA35" s="89"/>
      <c r="BB35" s="89"/>
    </row>
    <row r="36" spans="1:54" ht="21" x14ac:dyDescent="0.35">
      <c r="A36" s="89"/>
      <c r="B36" s="139">
        <f>100*((((B35)*(AA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98.948438908297163</v>
      </c>
      <c r="C36" s="139">
        <f>100*((((C35)*(AB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0.36629451225552506</v>
      </c>
      <c r="D36" s="139">
        <f>100*((((D35)*(AC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0.68526657944729708</v>
      </c>
      <c r="E36" s="139">
        <f>100*((((E35)*(AD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F36" s="139">
        <f>100*((((F35)*(AE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G36" s="139">
        <f>100*((((G35)*(AF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H36" s="139">
        <f>100*((((H35)*(AG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I36" s="139">
        <f>100*((((I35)*(AH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J36" s="139">
        <f>100*((((J35)*(AI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K36" s="139">
        <f>100*((((K35)*(AJ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L36" s="139">
        <f>100*((((L35)*(AK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M36" s="139">
        <f>100*((((M35)*(AL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N36" s="139">
        <f>100*((((N35)*(AM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O36" s="139">
        <f>100*((((O35)*(AN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P36" s="139">
        <f>100*((((P35)/(AO35))/(((B35)/(AA35))+((C35)/(AB35))+((D35)/(AC35))+((E35)/(AD35))+((F35)/(AE35))+((G35)/(AF35))+((H35)/(AG35))+((I35)/(AH35))+((J35)/(AI35))+((K35)/(AJ35))+((L35)/(AK35))+((M35)/(AL35))+((N35)/(AM35))+((O35)/(AN35))+((P35)/(AO35))+((Q35)/(AP35))+((R35)/(AQ35))+((S35)/(AR35))+((T35)/(AS35))+((U35)/(AT35))+((V35)/(AU35))+((W35)/(AV35))+((X35)/(AX35))+((Y35)/(AX35))+((Z35)/(AY35)))))</f>
        <v>0</v>
      </c>
      <c r="Q36" s="139">
        <f>100*((((Q35)*(AP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R36" s="139">
        <f>100*((((R35)*(AQ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S36" s="139">
        <f>100*((((S35)*(AR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T36" s="139">
        <f>100*((((T35)*(AS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U36" s="139">
        <f>100*((((U35)*(AT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V36" s="139">
        <f>100*((((V35)*(AU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W36" s="139">
        <f>100*((((W35)*(AV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X36" s="89">
        <f>100*((((X35)*(AW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Y36" s="89">
        <f>100*((((Y35)*(AX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Z36" s="89">
        <f>100*((((Z35)*(AY35))/(((B35)*(AA35))+((C35)*(AB35))+((D35)*(AC35))+((E35)*(AD35))+((F35)*(AE35))+((G35)*(AF35))+((H35)*(AG35))+((I35)*(AH35))+((J35)*(AI35))+((K35)*(AJ35))+((L35)*(AK35))+((M35)*(AL35))+((N35)*(AM35))+((O35)*(AN35))+((P35)*(AO35))+((Q35)*(AP35))+((R35)*(AQ35))+((S35)*(AR35))+((T35)*(AS35))+((U35)*(AT35))+((V35)*(AU35))+((W35)*(AV35))+((X35)*(AX35))+((Y35)*(AX35))+((Z35)*(AY35)))))</f>
        <v>0</v>
      </c>
      <c r="AA36" s="189">
        <v>55.84</v>
      </c>
      <c r="AB36" s="89">
        <v>95.94</v>
      </c>
      <c r="AC36" s="89">
        <v>183.85</v>
      </c>
      <c r="AD36" s="89">
        <v>58.933199999999999</v>
      </c>
      <c r="AE36" s="89">
        <v>63.54</v>
      </c>
      <c r="AF36" s="89">
        <v>12.01</v>
      </c>
      <c r="AG36" s="89">
        <v>28.085000000000001</v>
      </c>
      <c r="AH36" s="89">
        <v>47.88</v>
      </c>
      <c r="AI36" s="89">
        <v>58.692999999999998</v>
      </c>
      <c r="AJ36" s="89">
        <v>51.99</v>
      </c>
      <c r="AK36" s="89">
        <v>54.93</v>
      </c>
      <c r="AL36" s="89">
        <v>92.9</v>
      </c>
      <c r="AM36" s="89">
        <v>14.0067</v>
      </c>
      <c r="AN36" s="89">
        <v>26.981539999999999</v>
      </c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</row>
    <row r="37" spans="1:54" ht="21" x14ac:dyDescent="0.35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</row>
    <row r="38" spans="1:54" ht="21" x14ac:dyDescent="0.35">
      <c r="A38" s="89"/>
      <c r="B38" s="197" t="s">
        <v>14</v>
      </c>
      <c r="C38" s="197" t="s">
        <v>56</v>
      </c>
      <c r="D38" s="197" t="s">
        <v>15</v>
      </c>
      <c r="E38" s="197" t="s">
        <v>8</v>
      </c>
      <c r="F38" s="197" t="s">
        <v>9</v>
      </c>
      <c r="G38" s="197" t="s">
        <v>57</v>
      </c>
      <c r="H38" s="197" t="s">
        <v>58</v>
      </c>
      <c r="I38" s="197" t="s">
        <v>77</v>
      </c>
      <c r="J38" s="197" t="s">
        <v>13</v>
      </c>
      <c r="K38" s="197" t="s">
        <v>16</v>
      </c>
      <c r="L38" s="197" t="s">
        <v>55</v>
      </c>
      <c r="M38" s="197" t="s">
        <v>44</v>
      </c>
      <c r="N38" s="197" t="s">
        <v>10</v>
      </c>
      <c r="O38" s="197" t="s">
        <v>12</v>
      </c>
      <c r="P38" s="197" t="s">
        <v>80</v>
      </c>
      <c r="Q38" s="197" t="s">
        <v>81</v>
      </c>
      <c r="R38" s="197" t="s">
        <v>82</v>
      </c>
      <c r="S38" s="197" t="s">
        <v>83</v>
      </c>
      <c r="T38" s="197" t="s">
        <v>45</v>
      </c>
      <c r="U38" s="197" t="s">
        <v>17</v>
      </c>
      <c r="V38" s="197" t="s">
        <v>84</v>
      </c>
      <c r="W38" s="197" t="s">
        <v>0</v>
      </c>
      <c r="X38" s="197" t="s">
        <v>11</v>
      </c>
      <c r="Y38" s="197" t="s">
        <v>10</v>
      </c>
      <c r="Z38" s="197" t="s">
        <v>46</v>
      </c>
      <c r="AA38" s="182" t="s">
        <v>14</v>
      </c>
      <c r="AB38" s="183" t="s">
        <v>56</v>
      </c>
      <c r="AC38" s="184" t="s">
        <v>15</v>
      </c>
      <c r="AD38" s="185" t="s">
        <v>8</v>
      </c>
      <c r="AE38" s="184" t="s">
        <v>9</v>
      </c>
      <c r="AF38" s="184" t="s">
        <v>57</v>
      </c>
      <c r="AG38" s="185" t="s">
        <v>58</v>
      </c>
      <c r="AH38" s="184" t="s">
        <v>77</v>
      </c>
      <c r="AI38" s="186" t="s">
        <v>204</v>
      </c>
      <c r="AJ38" s="187" t="s">
        <v>16</v>
      </c>
      <c r="AK38" s="187" t="s">
        <v>55</v>
      </c>
      <c r="AL38" s="188" t="s">
        <v>44</v>
      </c>
      <c r="AM38" s="188" t="s">
        <v>43</v>
      </c>
      <c r="AN38" s="187" t="s">
        <v>12</v>
      </c>
      <c r="AO38" s="178" t="s">
        <v>80</v>
      </c>
      <c r="AP38" s="178" t="s">
        <v>81</v>
      </c>
      <c r="AQ38" s="178" t="s">
        <v>82</v>
      </c>
      <c r="AR38" s="178" t="s">
        <v>83</v>
      </c>
      <c r="AS38" s="178" t="s">
        <v>45</v>
      </c>
      <c r="AT38" s="178" t="s">
        <v>17</v>
      </c>
      <c r="AU38" s="186" t="s">
        <v>13</v>
      </c>
      <c r="AV38" s="178" t="s">
        <v>0</v>
      </c>
      <c r="AW38" s="178" t="s">
        <v>11</v>
      </c>
      <c r="AX38" s="178" t="s">
        <v>10</v>
      </c>
      <c r="AY38" s="178" t="s">
        <v>46</v>
      </c>
      <c r="AZ38" s="89"/>
      <c r="BA38" s="89"/>
      <c r="BB38" s="89"/>
    </row>
    <row r="39" spans="1:54" ht="21" x14ac:dyDescent="0.35">
      <c r="A39" s="89"/>
      <c r="B39" s="139">
        <f>100-C39-D39-E39-F39-G39-H39-I39-J39-K39-L39-M39-N39-O39-P39-Q39-R39-S39-T39-U39-V39-W39-X39-Y39-Z39</f>
        <v>93.592005467415021</v>
      </c>
      <c r="C39" s="177">
        <f>C19</f>
        <v>0.87196434683204349</v>
      </c>
      <c r="D39" s="177">
        <f t="shared" ref="D39:Z39" si="7">D19</f>
        <v>1.4577928737420194</v>
      </c>
      <c r="E39" s="177">
        <f>E20</f>
        <v>0</v>
      </c>
      <c r="F39" s="177">
        <f t="shared" si="7"/>
        <v>0</v>
      </c>
      <c r="G39" s="177">
        <f t="shared" si="7"/>
        <v>0.82031802787902119</v>
      </c>
      <c r="H39" s="177">
        <f t="shared" si="7"/>
        <v>5.1103631951346911E-3</v>
      </c>
      <c r="I39" s="177">
        <f t="shared" si="7"/>
        <v>1.0220726390269381E-3</v>
      </c>
      <c r="J39" s="177">
        <f t="shared" si="7"/>
        <v>1.0220726390269381E-3</v>
      </c>
      <c r="K39" s="177">
        <f t="shared" si="7"/>
        <v>1.5331089585404077E-3</v>
      </c>
      <c r="L39" s="177">
        <f t="shared" si="7"/>
        <v>1.7056493796688703</v>
      </c>
      <c r="M39" s="177">
        <f t="shared" si="7"/>
        <v>1.0220726390269383E-3</v>
      </c>
      <c r="N39" s="177">
        <f t="shared" si="7"/>
        <v>1.2914491926243397</v>
      </c>
      <c r="O39" s="177">
        <f t="shared" si="7"/>
        <v>0.19839730845562309</v>
      </c>
      <c r="P39" s="177">
        <f t="shared" si="7"/>
        <v>0</v>
      </c>
      <c r="Q39" s="177">
        <f t="shared" si="7"/>
        <v>5.2713713312287025E-2</v>
      </c>
      <c r="R39" s="177">
        <f t="shared" si="7"/>
        <v>0</v>
      </c>
      <c r="S39" s="177">
        <f t="shared" si="7"/>
        <v>0</v>
      </c>
      <c r="T39" s="177">
        <f t="shared" si="7"/>
        <v>0</v>
      </c>
      <c r="U39" s="177">
        <f t="shared" si="7"/>
        <v>0</v>
      </c>
      <c r="V39" s="177">
        <f t="shared" si="7"/>
        <v>0</v>
      </c>
      <c r="W39" s="177">
        <f t="shared" si="7"/>
        <v>0</v>
      </c>
      <c r="X39" s="177">
        <f t="shared" si="7"/>
        <v>0</v>
      </c>
      <c r="Y39" s="177">
        <f t="shared" si="7"/>
        <v>0</v>
      </c>
      <c r="Z39" s="177">
        <f t="shared" si="7"/>
        <v>0</v>
      </c>
      <c r="AA39" s="189">
        <v>55.84</v>
      </c>
      <c r="AB39" s="89">
        <v>12.01</v>
      </c>
      <c r="AC39" s="89">
        <v>28.0855</v>
      </c>
      <c r="AD39" s="89">
        <v>58.693399999999997</v>
      </c>
      <c r="AE39" s="89">
        <v>63.545999999999999</v>
      </c>
      <c r="AF39" s="89">
        <v>30.973762000000001</v>
      </c>
      <c r="AG39" s="89">
        <v>32.064999999999998</v>
      </c>
      <c r="AH39" s="89">
        <v>14.0067</v>
      </c>
      <c r="AI39" s="89">
        <v>10.81</v>
      </c>
      <c r="AJ39" s="89">
        <v>54.938043999999998</v>
      </c>
      <c r="AK39" s="89">
        <v>95.95</v>
      </c>
      <c r="AL39" s="89">
        <v>51.996099999999998</v>
      </c>
      <c r="AM39" s="89">
        <v>58.933194999999998</v>
      </c>
      <c r="AN39" s="89">
        <v>26.981539999999999</v>
      </c>
      <c r="AO39" s="89">
        <v>50.941499999999998</v>
      </c>
      <c r="AP39" s="89">
        <v>92.906369999999995</v>
      </c>
      <c r="AQ39" s="89">
        <v>183.84</v>
      </c>
      <c r="AR39" s="89">
        <v>180.94788</v>
      </c>
      <c r="AS39" s="89">
        <v>91.224000000000004</v>
      </c>
      <c r="AT39" s="89">
        <v>47.866999999999997</v>
      </c>
      <c r="AU39" s="89">
        <v>24.305</v>
      </c>
      <c r="AV39" s="89">
        <v>121.76</v>
      </c>
      <c r="AW39" s="89">
        <v>207.2</v>
      </c>
      <c r="AX39" s="89">
        <v>118.71</v>
      </c>
      <c r="AY39" s="89">
        <v>208.9804</v>
      </c>
      <c r="AZ39" s="89"/>
      <c r="BA39" s="89"/>
      <c r="BB39" s="89"/>
    </row>
    <row r="40" spans="1:54" ht="21" x14ac:dyDescent="0.35">
      <c r="A40" s="89"/>
      <c r="B40" s="139">
        <f>100*((((B39)/(AA39))/(((B39)/(AA39))+((C39)/(AB39))+((D39)/(AC39))+((E39)/(AD39))+((F39)/(AE39))+((G39)/(AF39))+((H39)/(AG39))+((I39)/(AH39))+((J39)/(AI39))+((K39)/(AJ39))+((L39)/(AK39))+((M39)/(AL39))+((N39)/(AM39))+((O39)/(AN39))+((P39)/(AO39))+((Q39)/(AP39))+((R39)/(AQ39))+((S39)/(AR39))+((T39)/(AS39))+((U39)/(AT39))+((V39)/(AU39))+((W39)/(AV39))+((X39)/(AW39))+((Y39)/(AX39))+((Z39)/(AY39)))))</f>
        <v>89.388130309862419</v>
      </c>
      <c r="C40" s="139">
        <f>100*((((C39)/(AB39))/(((B39)/(AA39))+((C39)/(AB39))+((D39)/(AC39))+((E39)/(AD39))+((F39)/(AE39))+((G39)/(AF39))+((H39)/(AG39))+((I39)/(AH39))+((J39)/(AI39))+((K39)/(AJ39))+((L39)/(AK39))+((M39)/(AL39))+((N39)/(AM39))+((O39)/(AN39))+((P39)/(AO39))+((Q39)/(AP39))+((R39)/(AQ39))+((S39)/(AR39))+((T39)/(AS39))+((U39)/(AT39))+((V39)/(AU39))+((W39)/(AV39))+((X39)/(AW39))+((Y39)/(AX39))+((Z39)/(AY39)))))</f>
        <v>3.872061352314403</v>
      </c>
      <c r="D40" s="139">
        <f>100*((((D39)/(AC39))/(((B39)/(AA39))+((C39)/(AB39))+((D39)/(AC39))+((E39)/(AD39))+((F39)/(AE39))+((G39)/(AF39))+((H39)/(AG39))+((I39)/(AH39))+((J39)/(AI39))+((K39)/(AJ39))+((L39)/(AK39))+((M39)/(AL39))+((N39)/(AM39))+((O39)/(AN39))+((P39)/(AO39))+((Q39)/(AP39))+((R39)/(AQ39))+((S39)/(AR39))+((T39)/(AS39))+((U39)/(AT39))+((V39)/(AU39))+((W39)/(AV39))+((X39)/(AW39))+((Y39)/(AX39))+((Z39)/(AY39)))))</f>
        <v>2.7682172632632445</v>
      </c>
      <c r="E40" s="139">
        <f>100*((((E39)/(AD39))/(((B39)/(AA39))+((C39)/(AB39))+((D39)/(AC39))+((E39)/(AD39))+((F39)/(AE39))+((G39)/(AF39))+((H39)/(AG39))+((I39)/(AH39))+((J39)/(AI39))+((K39)/(AJ39))+((L39)/(AK39))+((M39)/(AL39))+((N39)/(AM39))+((O39)/(AN39))+((P39)/(AO39))+((Q39)/(AP39))+((R39)/(AQ39))+((S39)/(AR39))+((T39)/(AS39))+((U39)/(AT39))+((V39)/(AU39))+((W39)/(AV39))+((X39)/(AW39))+((Y39)/(AX39))+((Z39)/(AY39)))))</f>
        <v>0</v>
      </c>
      <c r="F40" s="139">
        <f>100*((((F39)/(AE39))/(((B39)/(AA39))+((C39)/(AB39))+((D39)/(AC39))+((E39)/(AD39))+((F39)/(AE39))+((G39)/(AF39))+((H39)/(AG39))+((I39)/(AH39))+((J39)/(AI39))+((K39)/(AJ39))+((L39)/(AK39))+((M39)/(AL39))+((N39)/(AM39))+((O39)/(AN39))+((P39)/(AO39))+((Q39)/(AP39))+((R39)/(AQ39))+((S39)/(AR39))+((T39)/(AS39))+((U39)/(AT39))+((V39)/(AU39))+((W39)/(AV39))+((X39)/(AW39))+((Y39)/(AX39))+((Z39)/(AY39)))))</f>
        <v>0</v>
      </c>
      <c r="G40" s="139">
        <f>100*((((G39)/(AF39))/(((B39)/(AA39))+((C39)/(AB39))+((D39)/(AC39))+((E39)/(AD39))+((F39)/(AE39))+((G39)/(AF39))+((H39)/(AG39))+((I39)/(AH39))+((J39)/(AI39))+((K39)/(AJ39))+((L39)/(AK39))+((M39)/(AL39))+((N39)/(AM39))+((O39)/(AN39))+((P39)/(AO39))+((Q39)/(AP39))+((R39)/(AQ39))+((S39)/(AR39))+((T39)/(AS39))+((U39)/(AT39))+((V39)/(AU39))+((W39)/(AV39))+((X39)/(AW39))+((Y39)/(AX39))+((Z39)/(AY39)))))</f>
        <v>1.4124556128802428</v>
      </c>
      <c r="H40" s="139">
        <f>100*((((H39)/(AG39))/(((B39)/(AA39))+((C39)/(AB39))+((D39)/(AC39))+((E39)/(AD39))+((F39)/(AE39))+((G39)/(AF39))+((H39)/(AG39))+((I39)/(AH39))+((J39)/(AI39))+((K39)/(AJ39))+((L39)/(AK39))+((M39)/(AL39))+((N39)/(AM39))+((O39)/(AN39))+((P39)/(AO39))+((Q39)/(AP39))+((R39)/(AQ39))+((S39)/(AR39))+((T39)/(AS39))+((U39)/(AT39))+((V39)/(AU39))+((W39)/(AV39))+((X39)/(AW39))+((Y39)/(AX39))+((Z39)/(AY39)))))</f>
        <v>8.4997672224794742E-3</v>
      </c>
      <c r="I40" s="139">
        <f>100*((((I39)/(AH39))/(((B39)/(AA39))+((C39)/(AB39))+((D39)/(AC39))+((E39)/(AD39))+((F39)/(AE39))+((G39)/(AF39))+((H39)/(AG39))+((I39)/(AH39))+((J39)/(AI39))+((K39)/(AJ39))+((L39)/(AK39))+((M39)/(AL39))+((N39)/(AM39))+((O39)/(AN39))+((P39)/(AO39))+((Q39)/(AP39))+((R39)/(AQ39))+((S39)/(AR39))+((T39)/(AS39))+((U39)/(AT39))+((V39)/(AU39))+((W39)/(AV39))+((X39)/(AW39))+((Y39)/(AX39))+((Z39)/(AY39)))))</f>
        <v>3.89163808732684E-3</v>
      </c>
      <c r="J40" s="139">
        <f>100*((((J39)/(AI39))/(((B39)/(AA39))+((C39)/(AB39))+((D39)/(AC39))+((E39)/(AD39))+((F39)/(AE39))+((G39)/(AF39))+((H39)/(AG39))+((I39)/(AH39))+((J39)/(AI39))+((K39)/(AJ39))+((L39)/(AK39))+((M39)/(AL39))+((N39)/(AM39))+((O39)/(AN39))+((P39)/(AO39))+((Q39)/(AP39))+((R39)/(AQ39))+((S39)/(AR39))+((T39)/(AS39))+((U39)/(AT39))+((V39)/(AU39))+((W39)/(AV39))+((X39)/(AW39))+((Y39)/(AX39))+((Z39)/(AY39)))))</f>
        <v>5.042461350394158E-3</v>
      </c>
      <c r="K40" s="139">
        <f>100*((((K39)/(AJ39))/(((B39)/(AA39))+((C39)/(AB39))+((D39)/(AC39))+((E39)/(AD39))+((F39)/(AE39))+((G39)/(AF39))+((H39)/(AG39))+((I39)/(AH39))+((J39)/(AI39))+((K39)/(AJ39))+((L39)/(AK39))+((M39)/(AL39))+((N39)/(AM39))+((O39)/(AN39))+((P39)/(AO39))+((Q39)/(AP39))+((R39)/(AQ39))+((S39)/(AR39))+((T39)/(AS39))+((U39)/(AT39))+((V39)/(AU39))+((W39)/(AV39))+((X39)/(AW39))+((Y39)/(AX39))+((Z39)/(AY39)))))</f>
        <v>1.4882858005763966E-3</v>
      </c>
      <c r="L40" s="139">
        <f>100*((((L39)/(AK39))/(((B39)/(AA39))+((C39)/(AB39))+((D39)/(AC39))+((E39)/(AD39))+((F39)/(AE39))+((G39)/(AF39))+((H39)/(AG39))+((I39)/(AH39))+((J39)/(AI39))+((K39)/(AJ39))+((L39)/(AK39))+((M39)/(AL39))+((N39)/(AM39))+((O39)/(AN39))+((P39)/(AO39))+((Q39)/(AP39))+((R39)/(AQ39))+((S39)/(AR39))+((T39)/(AS39))+((U39)/(AT39))+((V39)/(AU39))+((W39)/(AV39))+((X39)/(AW39))+((Y39)/(AX39))+((Z39)/(AY39)))))</f>
        <v>0.94805010635764175</v>
      </c>
      <c r="M40" s="139">
        <f>100*((((M39)/(AL39))/(((B39)/(AA39))+((C39)/(AB39))+((D39)/(AC39))+((E39)/(AD39))+((F39)/(AE39))+((G39)/(AF39))+((H39)/(AG39))+((I39)/(AH39))+((J39)/(AI39))+((K39)/(AJ39))+((L39)/(AK39))+((M39)/(AL39))+((N39)/(AM39))+((O39)/(AN39))+((P39)/(AO39))+((Q39)/(AP39))+((R39)/(AQ39))+((S39)/(AR39))+((T39)/(AS39))+((U39)/(AT39))+((V39)/(AU39))+((W39)/(AV39))+((X39)/(AW39))+((Y39)/(AX39))+((Z39)/(AY39)))))</f>
        <v>1.0483287630757088E-3</v>
      </c>
      <c r="N40" s="139">
        <f>100*((((N39)/(AM39))/(((B39)/(AA39))+((C39)/(AB39))+((D39)/(AC39))+((E39)/(AD39))+((F39)/(AE39))+((G39)/(AF39))+((H39)/(AG39))+((I39)/(AH39))+((J39)/(AI39))+((K39)/(AJ39))+((L39)/(AK39))+((M39)/(AL39))+((N39)/(AM39))+((O39)/(AN39))+((P39)/(AO39))+((Q39)/(AP39))+((R39)/(AQ39))+((S39)/(AR39))+((T39)/(AS39))+((U39)/(AT39))+((V39)/(AU39))+((W39)/(AV39))+((X39)/(AW39))+((Y39)/(AX39))+((Z39)/(AY39)))))</f>
        <v>1.1687021642351894</v>
      </c>
      <c r="O40" s="139">
        <f>100*((((O39)/(AN39))/(((B39)/(AA39))+((C39)/(AB39))+((D39)/(AC39))+((E39)/(AD39))+((F39)/(AE39))+((G39)/(AF39))+((H39)/(AG39))+((I39)/(AH39))+((J39)/(AI39))+((K39)/(AJ39))+((L39)/(AK39))+((M39)/(AL39))+((N39)/(AM39))+((O39)/(AN39))+((P39)/(AO39))+((Q39)/(AP39))+((R39)/(AQ39))+((S39)/(AR39))+((T39)/(AS39))+((U39)/(AT39))+((V39)/(AU39))+((W39)/(AV39))+((X39)/(AW39))+((Y39)/(AX39))+((Z39)/(AY39)))))</f>
        <v>0.39215300915585127</v>
      </c>
      <c r="P40" s="139">
        <f>100*((((P39)/(AO39))/(((B39)/(AA39))+((C39)/(AB39))+((D39)/(AC39))+((E39)/(AD39))+((F39)/(AE39))+((G39)/(AF39))+((H39)/(AG39))+((I39)/(AH39))+((J39)/(AI39))+((K39)/(AJ39))+((L39)/(AK39))+((M39)/(AL39))+((N39)/(AM39))+((O39)/(AN39))+((P39)/(AO39))+((Q39)/(AP39))+((R39)/(AQ39))+((S39)/(AR39))+((T39)/(AS39))+((U39)/(AT39))+((V39)/(AU39))+((W39)/(AV39))+((X39)/(AW39))+((Y39)/(AX39))+((Z39)/(AY39)))))</f>
        <v>0</v>
      </c>
      <c r="Q40" s="139">
        <f>100*((((Q39)/(AP39))/(((B39)/(AA39))+((C39)/(AB39))+((D39)/(AC39))+((E39)/(AD39))+((F39)/(AE39))+((G39)/(AF39))+((H39)/(AG39))+((I39)/(AH39))+((J39)/(AI39))+((K39)/(AJ39))+((L39)/(AK39))+((M39)/(AL39))+((N39)/(AM39))+((O39)/(AN39))+((P39)/(AO39))+((Q39)/(AP39))+((R39)/(AQ39))+((S39)/(AR39))+((T39)/(AS39))+((U39)/(AT39))+((V39)/(AU39))+((W39)/(AV39))+((X39)/(AW39))+((Y39)/(AX39))+((Z39)/(AY39)))))</f>
        <v>3.0259700707147324E-2</v>
      </c>
      <c r="R40" s="139">
        <f>100*((((R39)/(AQ39))/(((B39)/(AA39))+((C39)/(AB39))+((D39)/(AC39))+((E39)/(AD39))+((F39)/(AE39))+((G39)/(AF39))+((H39)/(AG39))+((I39)/(AH39))+((J39)/(AI39))+((K39)/(AJ39))+((L39)/(AK39))+((M39)/(AL39))+((N39)/(AM39))+((O39)/(AN39))+((P39)/(AO39))+((Q39)/(AP39))+((R39)/(AQ39))+((S39)/(AR39))+((T39)/(AS39))+((U39)/(AT39))+((V39)/(AU39))+((W39)/(AV39))+((X39)/(AW39))+((Y39)/(AX39))+((Z39)/(AY39)))))</f>
        <v>0</v>
      </c>
      <c r="S40" s="139">
        <f>100*((((S39)/(AR39))/(((B39)/(AA39))+((C39)/(AB39))+((D39)/(AC39))+((E39)/(AD39))+((F39)/(AE39))+((G39)/(AF39))+((H39)/(AG39))+((I39)/(AH39))+((J39)/(AI39))+((K39)/(AJ39))+((L39)/(AK39))+((M39)/(AL39))+((N39)/(AM39))+((O39)/(AN39))+((P39)/(AO39))+((Q39)/(AP39))+((R39)/(AQ39))+((S39)/(AR39))+((T39)/(AS39))+((U39)/(AT39))+((V39)/(AU39))+((W39)/(AV39))+((X39)/(AW39))+((Y39)/(AX39))+((Z39)/(AY39)))))</f>
        <v>0</v>
      </c>
      <c r="T40" s="139">
        <f>100*((((T39)/(AS39))/(((B39)/(AA39))+((C39)/(AB39))+((D39)/(AC39))+((E39)/(AD39))+((F39)/(AE39))+((G39)/(AF39))+((H39)/(AG39))+((I39)/(AH39))+((J39)/(AI39))+((K39)/(AJ39))+((L39)/(AK39))+((M39)/(AL39))+((N39)/(AM39))+((O39)/(AN39))+((P39)/(AO39))+((Q39)/(AP39))+((R39)/(AQ39))+((S39)/(AR39))+((T39)/(AS39))+((U39)/(AT39))+((V39)/(AU39))+((W39)/(AV39))+((X39)/(AW39))+((Y39)/(AX39))+((Z39)/(AY39)))))</f>
        <v>0</v>
      </c>
      <c r="U40" s="139">
        <f>100*((((U39)/(AT39))/(((B39)/(AA39))+((C39)/(AB39))+((D39)/(AC39))+((E39)/(AD39))+((F39)/(AE39))+((G39)/(AF39))+((H39)/(AG39))+((I39)/(AH39))+((J39)/(AI39))+((K39)/(AJ39))+((L39)/(AK39))+((M39)/(AL39))+((N39)/(AM39))+((O39)/(AN39))+((P39)/(AO39))+((Q39)/(AP39))+((R39)/(AQ39))+((S39)/(AR39))+((T39)/(AS39))+((U39)/(AT39))+((V39)/(AU39))+((W39)/(AV39))+((X39)/(AW39))+((Y39)/(AX39))+((Z39)/(AY39)))))</f>
        <v>0</v>
      </c>
      <c r="V40" s="139">
        <f>100*((((V39)/(AU39))/(((B39)/(AA39))+((C39)/(AB39))+((D39)/(AC39))+((E39)/(AD39))+((F39)/(AE39))+((G39)/(AF39))+((H39)/(AG39))+((I39)/(AH39))+((J39)/(AI39))+((K39)/(AJ39))+((L39)/(AK39))+((M39)/(AL39))+((N39)/(AM39))+((O39)/(AN39))+((P39)/(AO39))+((Q39)/(AP39))+((R39)/(AQ39))+((S39)/(AR39))+((T39)/(AS39))+((U39)/(AT39))+((V39)/(AU39))+((W39)/(AV39))+((X39)/(AW39))+((Y39)/(AX39))+((Z39)/(AY39)))))</f>
        <v>0</v>
      </c>
      <c r="W40" s="139">
        <f>100*((((W39)/(AV39))/(((B39)/(AA39))+((C39)/(AB39))+((D39)/(AC39))+((E39)/(AD39))+((F39)/(AE39))+((G39)/(AF39))+((H39)/(AG39))+((I39)/(AH39))+((J39)/(AI39))+((K39)/(AJ39))+((L39)/(AK39))+((M39)/(AL39))+((N39)/(AM39))+((O39)/(AN39))+((P39)/(AO39))+((Q39)/(AP39))+((R39)/(AQ39))+((S39)/(AR39))+((T39)/(AS39))+((U39)/(AT39))+((V39)/(AU39))+((W39)/(AV39))+((X39)/(AW39))+((Y39)/(AX39))+((Z39)/(AY39)))))</f>
        <v>0</v>
      </c>
      <c r="X40" s="89">
        <f>100*((((X39)/(AW39))/(((B39)/(AA39))+((C39)/(AB39))+((D39)/(AC39))+((E39)/(AD39))+((F39)/(AE39))+((G39)/(AF39))+((H39)/(AG39))+((I39)/(AH39))+((J39)/(AI39))+((K39)/(AJ39))+((L39)/(AK39))+((M39)/(AL39))+((N39)/(AM39))+((O39)/(AN39))+((P39)/(AO39))+((Q39)/(AP39))+((R39)/(AQ39))+((S39)/(AR39))+((T39)/(AS39))+((U39)/(AT39))+((V39)/(AU39))+((W39)/(AV39))+((X39)/(AW39))+((Y39)/(AX39))+((Z39)/(AY39)))))</f>
        <v>0</v>
      </c>
      <c r="Y40" s="89">
        <f>100*((((Y39)/(AX39))/(((B39)/(AA39))+((C39)/(AB39))+((D39)/(AC39))+((E39)/(AD39))+((F39)/(AE39))+((G39)/(AF39))+((H39)/(AG39))+((I39)/(AH39))+((J39)/(AI39))+((K39)/(AJ39))+((L39)/(AK39))+((M39)/(AL39))+((N39)/(AM39))+((O39)/(AN39))+((P39)/(AO39))+((Q39)/(AP39))+((R39)/(AQ39))+((S39)/(AR39))+((T39)/(AS39))+((U39)/(AT39))+((V39)/(AU39))+((W39)/(AV39))+((X39)/(AW39))+((Y39)/(AX39))+((Z39)/(AY39)))))</f>
        <v>0</v>
      </c>
      <c r="Z40" s="89">
        <f>100*((((Z39)/(AY39))/(((B39)/(AA39))+((C39)/(AB39))+((D39)/(AC39))+((E39)/(AD39))+((F39)/(AE39))+((G39)/(AF39))+((H39)/(AG39))+((I39)/(AH39))+((J39)/(AI39))+((K39)/(AJ39))+((L39)/(AK39))+((M39)/(AL39))+((N39)/(AM39))+((O39)/(AN39))+((P39)/(AO39))+((Q39)/(AP39))+((R39)/(AQ39))+((S39)/(AR39))+((T39)/(AS39))+((U39)/(AT39))+((V39)/(AU39))+((W39)/(AV39))+((X39)/(AW39))+((Y39)/(AX39))+((Z39)/(AY39)))))</f>
        <v>0</v>
      </c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  <c r="BA40" s="89"/>
      <c r="BB40" s="89"/>
    </row>
    <row r="41" spans="1:54" ht="21" x14ac:dyDescent="0.35">
      <c r="A41" s="89"/>
      <c r="B41" s="138" t="s">
        <v>87</v>
      </c>
      <c r="C41" s="199">
        <f>B40/C40</f>
        <v>23.085411664883221</v>
      </c>
      <c r="D41" s="199">
        <f>B40/D40</f>
        <v>32.290865134078899</v>
      </c>
      <c r="E41" s="199" t="e">
        <f>B40/E40</f>
        <v>#DIV/0!</v>
      </c>
      <c r="F41" s="199" t="e">
        <f>B40/F40</f>
        <v>#DIV/0!</v>
      </c>
      <c r="G41" s="200">
        <f>B40/G40</f>
        <v>63.285620797374627</v>
      </c>
      <c r="H41" s="200">
        <f>B40/H40</f>
        <v>10516.538626311572</v>
      </c>
      <c r="I41" s="200">
        <f>B40/I40</f>
        <v>22969.281393600242</v>
      </c>
      <c r="J41" s="139">
        <f>B40/J40</f>
        <v>17727.082886391414</v>
      </c>
      <c r="K41" s="139">
        <f>B40/K40</f>
        <v>60061.13226051299</v>
      </c>
      <c r="L41" s="139">
        <f>B40/L40</f>
        <v>94.28629321427627</v>
      </c>
      <c r="M41" s="139">
        <f>B40/M40</f>
        <v>85267.268683542687</v>
      </c>
      <c r="N41" s="139">
        <f>B40/N40</f>
        <v>76.48495317740678</v>
      </c>
      <c r="O41" s="139">
        <f>B40/O40</f>
        <v>227.94197219671818</v>
      </c>
      <c r="P41" s="89" t="e">
        <f>B40/P40</f>
        <v>#DIV/0!</v>
      </c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</row>
    <row r="42" spans="1:54" ht="21" x14ac:dyDescent="0.35">
      <c r="A42" s="89"/>
      <c r="B42" s="89"/>
      <c r="C42" s="89">
        <f>599*B40/100/C41</f>
        <v>23.193647500363273</v>
      </c>
      <c r="D42" s="89">
        <f>599*B40/100/D41</f>
        <v>16.581621406946834</v>
      </c>
      <c r="E42" s="89" t="e">
        <f>599*B40/100/E41</f>
        <v>#DIV/0!</v>
      </c>
      <c r="F42" s="89" t="e">
        <f>599*B40/100/F41</f>
        <v>#DIV/0!</v>
      </c>
      <c r="G42" s="89">
        <f>599*B40/100/G41</f>
        <v>8.460609121152654</v>
      </c>
      <c r="H42" s="89">
        <f>599*B40/100/H41</f>
        <v>5.0913605662652045E-2</v>
      </c>
      <c r="I42" s="89">
        <f>599*B40/100/I41</f>
        <v>2.331091214308777E-2</v>
      </c>
      <c r="J42" s="89">
        <f>599*B40/100/J41</f>
        <v>3.0204343488861005E-2</v>
      </c>
      <c r="K42" s="89">
        <f>599*B40/100/K41</f>
        <v>8.9148319454526153E-3</v>
      </c>
      <c r="L42" s="89">
        <f>599*B40/100/L41</f>
        <v>5.6788201370822735</v>
      </c>
      <c r="M42" s="89">
        <f>599*B40/100/M41</f>
        <v>6.2794892908234947E-3</v>
      </c>
      <c r="N42" s="89">
        <f>599*B40/100/N41</f>
        <v>7.0005259637687827</v>
      </c>
      <c r="O42" s="89">
        <f>599*B40/100/O41</f>
        <v>2.3489965248435487</v>
      </c>
      <c r="P42" s="89" t="e">
        <f>599*N40/100/P41</f>
        <v>#DIV/0!</v>
      </c>
      <c r="Q42" s="89" t="e">
        <f>599*P40/100/Q41</f>
        <v>#DIV/0!</v>
      </c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</row>
    <row r="43" spans="1:54" ht="21" x14ac:dyDescent="0.35">
      <c r="A43" s="89"/>
      <c r="B43" s="89" t="s">
        <v>88</v>
      </c>
      <c r="C43" s="201" t="e">
        <f>C42+D42+F42+G42+H42+I42</f>
        <v>#DIV/0!</v>
      </c>
      <c r="D43" s="202"/>
      <c r="E43" s="202" t="e">
        <f>C42+F42+E42</f>
        <v>#DIV/0!</v>
      </c>
      <c r="F43" s="202"/>
      <c r="G43" s="202">
        <v>94</v>
      </c>
      <c r="H43" s="202"/>
      <c r="I43" s="202"/>
      <c r="J43" s="202">
        <f>J42+O42</f>
        <v>2.3792008683324095</v>
      </c>
      <c r="K43" s="202"/>
      <c r="L43" s="202"/>
      <c r="M43" s="202"/>
      <c r="N43" s="202"/>
      <c r="O43" s="202"/>
      <c r="P43" s="202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</row>
    <row r="44" spans="1:54" ht="21" x14ac:dyDescent="0.35">
      <c r="A44" s="89"/>
      <c r="B44" s="139" t="s">
        <v>89</v>
      </c>
      <c r="C44" s="196">
        <f>J42+K42</f>
        <v>3.9119175434313619E-2</v>
      </c>
      <c r="D44" s="89"/>
      <c r="E44" s="208">
        <f>K42+M42</f>
        <v>1.519432123627611E-2</v>
      </c>
      <c r="F44" s="89"/>
      <c r="G44" s="89">
        <v>0.5</v>
      </c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</row>
    <row r="45" spans="1:54" ht="21" x14ac:dyDescent="0.35">
      <c r="A45" s="89"/>
      <c r="B45" s="89" t="s">
        <v>13</v>
      </c>
      <c r="C45" s="89">
        <f>J40</f>
        <v>5.042461350394158E-3</v>
      </c>
      <c r="D45" s="89"/>
      <c r="E45" s="89">
        <f>J42</f>
        <v>3.0204343488861005E-2</v>
      </c>
      <c r="F45" s="89"/>
      <c r="G45" s="89">
        <v>0.5</v>
      </c>
      <c r="H45" s="89"/>
      <c r="I45" s="89"/>
      <c r="J45" s="89">
        <v>98</v>
      </c>
      <c r="K45" s="194">
        <f>J45*100/599</f>
        <v>16.360601001669448</v>
      </c>
      <c r="L45" s="89">
        <v>94.49</v>
      </c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</row>
    <row r="46" spans="1:54" ht="21" x14ac:dyDescent="0.35">
      <c r="A46" s="89"/>
      <c r="B46" s="89" t="s">
        <v>15</v>
      </c>
      <c r="C46" s="89">
        <f>D40</f>
        <v>2.7682172632632445</v>
      </c>
      <c r="D46" s="89"/>
      <c r="E46" s="89">
        <f>D42</f>
        <v>16.581621406946834</v>
      </c>
      <c r="F46" s="89"/>
      <c r="G46" s="89">
        <v>23</v>
      </c>
      <c r="H46" s="89"/>
      <c r="I46" s="89"/>
      <c r="J46" s="89">
        <v>0.5</v>
      </c>
      <c r="K46" s="194">
        <f t="shared" ref="K46:K47" si="8">J46*100/599</f>
        <v>8.347245409015025E-2</v>
      </c>
      <c r="L46" s="89">
        <v>95.82</v>
      </c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</row>
    <row r="47" spans="1:54" ht="21" x14ac:dyDescent="0.35">
      <c r="A47" s="89"/>
      <c r="B47" s="89" t="s">
        <v>67</v>
      </c>
      <c r="C47" s="89" t="e">
        <f>C43+C44</f>
        <v>#DIV/0!</v>
      </c>
      <c r="D47" s="89"/>
      <c r="E47" s="89" t="e">
        <f>E43+E44+E45+E46</f>
        <v>#DIV/0!</v>
      </c>
      <c r="F47" s="89"/>
      <c r="G47" s="89">
        <f>G43+G44+G45+G46</f>
        <v>118</v>
      </c>
      <c r="H47" s="89"/>
      <c r="I47" s="89"/>
      <c r="J47" s="89">
        <v>23</v>
      </c>
      <c r="K47" s="194">
        <f t="shared" si="8"/>
        <v>3.8397328881469117</v>
      </c>
      <c r="L47" s="89">
        <v>89.48</v>
      </c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</row>
    <row r="48" spans="1:54" ht="21" x14ac:dyDescent="0.35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</row>
    <row r="49" spans="1:54" ht="21" x14ac:dyDescent="0.35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</row>
    <row r="50" spans="1:54" ht="21" x14ac:dyDescent="0.35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</row>
    <row r="51" spans="1:54" ht="21" x14ac:dyDescent="0.35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</row>
    <row r="52" spans="1:54" ht="21" x14ac:dyDescent="0.35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</row>
    <row r="53" spans="1:54" ht="21" x14ac:dyDescent="0.35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</row>
    <row r="54" spans="1:54" ht="21" x14ac:dyDescent="0.35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</row>
    <row r="55" spans="1:54" ht="21" x14ac:dyDescent="0.35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</row>
    <row r="56" spans="1:54" ht="21" x14ac:dyDescent="0.3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</row>
    <row r="57" spans="1:54" ht="21" x14ac:dyDescent="0.3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</row>
    <row r="58" spans="1:54" ht="21" x14ac:dyDescent="0.3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</row>
    <row r="59" spans="1:54" ht="21" x14ac:dyDescent="0.3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</row>
    <row r="60" spans="1:54" ht="21" x14ac:dyDescent="0.3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</row>
    <row r="61" spans="1:54" ht="21" x14ac:dyDescent="0.3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</row>
    <row r="62" spans="1:54" ht="21" x14ac:dyDescent="0.3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</row>
    <row r="63" spans="1:54" ht="21" x14ac:dyDescent="0.3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89"/>
      <c r="BA63" s="89"/>
      <c r="BB63" s="89"/>
    </row>
    <row r="64" spans="1:54" ht="21" x14ac:dyDescent="0.3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89"/>
      <c r="BA64" s="89"/>
      <c r="BB64" s="89"/>
    </row>
    <row r="65" spans="1:54" ht="21" x14ac:dyDescent="0.3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  <c r="AX65" s="89"/>
      <c r="AY65" s="89"/>
      <c r="AZ65" s="89"/>
      <c r="BA65" s="89"/>
      <c r="BB65" s="89"/>
    </row>
    <row r="66" spans="1:54" ht="21" x14ac:dyDescent="0.3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89"/>
      <c r="BB66" s="89"/>
    </row>
    <row r="67" spans="1:54" ht="21" x14ac:dyDescent="0.35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89"/>
      <c r="BA67" s="89"/>
      <c r="BB67" s="89"/>
    </row>
  </sheetData>
  <pageMargins left="0.7" right="0.7" top="0.75" bottom="0.75" header="0.3" footer="0.3"/>
  <pageSetup paperSize="9" orientation="portrait" verticalDpi="597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2BE00-05AF-47AE-9BEB-1F565D611611}">
  <dimension ref="A1:AY19"/>
  <sheetViews>
    <sheetView zoomScale="130" zoomScaleNormal="130" workbookViewId="0">
      <selection activeCell="I10" sqref="I10"/>
    </sheetView>
  </sheetViews>
  <sheetFormatPr baseColWidth="10" defaultColWidth="8.7109375" defaultRowHeight="15" x14ac:dyDescent="0.25"/>
  <cols>
    <col min="1" max="1" width="24.42578125" customWidth="1"/>
    <col min="2" max="2" width="11.7109375" customWidth="1"/>
    <col min="3" max="3" width="11.140625" customWidth="1"/>
    <col min="4" max="4" width="11.7109375" customWidth="1"/>
    <col min="5" max="6" width="6.140625" customWidth="1"/>
    <col min="7" max="7" width="10.5703125" customWidth="1"/>
    <col min="8" max="8" width="6.5703125" customWidth="1"/>
    <col min="9" max="9" width="9.42578125" customWidth="1"/>
    <col min="10" max="10" width="12.7109375" customWidth="1"/>
    <col min="11" max="11" width="13" customWidth="1"/>
    <col min="12" max="12" width="8.140625" customWidth="1"/>
    <col min="13" max="13" width="6" customWidth="1"/>
    <col min="14" max="14" width="5.85546875" customWidth="1"/>
    <col min="15" max="15" width="5.42578125" customWidth="1"/>
    <col min="16" max="17" width="8.85546875" bestFit="1" customWidth="1"/>
  </cols>
  <sheetData>
    <row r="1" spans="1:26" x14ac:dyDescent="0.25">
      <c r="A1" t="s">
        <v>34</v>
      </c>
      <c r="B1" s="22"/>
      <c r="C1" s="22">
        <f>C5-C2</f>
        <v>-12.691534819291679</v>
      </c>
      <c r="D1" s="22">
        <f>D4-D2</f>
        <v>-2.5007189268345527</v>
      </c>
      <c r="E1" s="22">
        <f>E2-E5</f>
        <v>0</v>
      </c>
      <c r="F1" s="22">
        <f>F4-F2</f>
        <v>0</v>
      </c>
      <c r="G1" s="22">
        <f t="shared" ref="G1:O1" si="0">G4-G2</f>
        <v>0.91521970155323784</v>
      </c>
      <c r="H1" s="22">
        <f t="shared" si="0"/>
        <v>8.8718546811123438E-3</v>
      </c>
      <c r="I1" s="22">
        <f>I4-I2</f>
        <v>1.7139854382745025E-3</v>
      </c>
      <c r="J1" s="22">
        <f>J5-J2</f>
        <v>-7.9548239008597893E-2</v>
      </c>
      <c r="K1" s="22">
        <f>K5-K2</f>
        <v>3.0099302267222323</v>
      </c>
      <c r="L1" s="22">
        <f t="shared" si="0"/>
        <v>1.6006086588236572</v>
      </c>
      <c r="M1" s="22">
        <f t="shared" si="0"/>
        <v>2.2612196288118464E-3</v>
      </c>
      <c r="N1" s="22">
        <f t="shared" si="0"/>
        <v>1.3740766327042508</v>
      </c>
      <c r="O1" s="22">
        <f t="shared" si="0"/>
        <v>0.10882959025400381</v>
      </c>
      <c r="P1" s="22"/>
    </row>
    <row r="2" spans="1:26" ht="23.25" x14ac:dyDescent="0.35">
      <c r="A2" t="s">
        <v>37</v>
      </c>
      <c r="B2" s="23">
        <f>100-C2-D2-E2-F2-G2-H2-I2-J2-K2-L2-M2-N2-O2</f>
        <v>80.63439145000001</v>
      </c>
      <c r="C2" s="5">
        <v>15.358931549999999</v>
      </c>
      <c r="D2" s="5">
        <v>3.8397329999999998</v>
      </c>
      <c r="E2" s="5"/>
      <c r="F2" s="5"/>
      <c r="G2" s="6"/>
      <c r="H2" s="6"/>
      <c r="I2" s="6"/>
      <c r="J2" s="5">
        <v>8.3472000000000005E-2</v>
      </c>
      <c r="K2" s="5">
        <v>8.3472000000000005E-2</v>
      </c>
      <c r="L2" s="6"/>
      <c r="M2" s="5"/>
      <c r="N2" s="6"/>
      <c r="O2" s="6"/>
      <c r="P2" s="71"/>
      <c r="Q2" s="71"/>
    </row>
    <row r="3" spans="1:26" ht="18" x14ac:dyDescent="0.25">
      <c r="B3" s="34" t="s">
        <v>14</v>
      </c>
      <c r="C3" s="34" t="s">
        <v>56</v>
      </c>
      <c r="D3" s="34" t="s">
        <v>15</v>
      </c>
      <c r="E3" s="34" t="s">
        <v>8</v>
      </c>
      <c r="F3" s="34" t="s">
        <v>9</v>
      </c>
      <c r="G3" s="34" t="s">
        <v>57</v>
      </c>
      <c r="H3" s="34" t="s">
        <v>58</v>
      </c>
      <c r="I3" s="34" t="s">
        <v>77</v>
      </c>
      <c r="J3" s="34" t="s">
        <v>13</v>
      </c>
      <c r="K3" s="34" t="s">
        <v>16</v>
      </c>
      <c r="L3" s="34" t="s">
        <v>55</v>
      </c>
      <c r="M3" s="34" t="s">
        <v>44</v>
      </c>
      <c r="N3" s="34" t="s">
        <v>43</v>
      </c>
      <c r="O3" s="34" t="s">
        <v>12</v>
      </c>
      <c r="P3" s="35" t="s">
        <v>80</v>
      </c>
      <c r="Q3" s="35" t="s">
        <v>81</v>
      </c>
      <c r="R3" s="35" t="s">
        <v>82</v>
      </c>
      <c r="S3" s="35" t="s">
        <v>83</v>
      </c>
      <c r="T3" s="35" t="s">
        <v>45</v>
      </c>
      <c r="U3" s="35" t="s">
        <v>17</v>
      </c>
      <c r="V3" s="35" t="s">
        <v>84</v>
      </c>
      <c r="W3" s="35" t="s">
        <v>0</v>
      </c>
      <c r="X3" s="35" t="s">
        <v>11</v>
      </c>
      <c r="Y3" s="35" t="s">
        <v>10</v>
      </c>
      <c r="Z3" s="35" t="s">
        <v>46</v>
      </c>
    </row>
    <row r="4" spans="1:26" x14ac:dyDescent="0.25">
      <c r="A4" t="s">
        <v>35</v>
      </c>
      <c r="B4" s="22">
        <f>100-C4-D4-E4-F4-G4-H4-I4-J4-K4-L4-M4-N4-O4-P4-Q4-R4-S4-T4-U4-V4-W4-X4-Y4-Z4</f>
        <v>92.840162287943642</v>
      </c>
      <c r="C4" s="22">
        <f>'opt 1'!B3</f>
        <v>1.741591189035695</v>
      </c>
      <c r="D4" s="22">
        <f>'opt 1'!C3</f>
        <v>1.3390140731654472</v>
      </c>
      <c r="E4" s="22">
        <f>'opt 1'!D3</f>
        <v>0</v>
      </c>
      <c r="F4" s="22">
        <f>'opt 1'!E3</f>
        <v>0</v>
      </c>
      <c r="G4" s="22">
        <f>'opt 1'!F3</f>
        <v>0.91521970155323784</v>
      </c>
      <c r="H4" s="22">
        <f>'opt 1'!G3</f>
        <v>8.8718546811123438E-3</v>
      </c>
      <c r="I4" s="22">
        <f>'opt 1'!H3</f>
        <v>1.7139854382745025E-3</v>
      </c>
      <c r="J4" s="22">
        <f>'opt 1'!I3</f>
        <v>3.9237609914021089E-3</v>
      </c>
      <c r="K4" s="22">
        <f>'opt 1'!J3</f>
        <v>7.6261253115085933E-3</v>
      </c>
      <c r="L4" s="22">
        <f>'opt 1'!K3</f>
        <v>1.6006086588236572</v>
      </c>
      <c r="M4" s="22">
        <f>'opt 1'!L3</f>
        <v>2.2612196288118464E-3</v>
      </c>
      <c r="N4" s="22">
        <f>'opt 1'!M3</f>
        <v>1.3740766327042508</v>
      </c>
      <c r="O4" s="22">
        <f>'opt 1'!N3</f>
        <v>0.10882959025400381</v>
      </c>
      <c r="P4" s="22">
        <f>'opt 1'!O3</f>
        <v>0</v>
      </c>
      <c r="Q4">
        <f>'opt 1'!P3</f>
        <v>5.6100920468972061E-2</v>
      </c>
      <c r="R4">
        <f>'opt 1'!Q3</f>
        <v>0</v>
      </c>
      <c r="S4">
        <f>'opt 1'!R3</f>
        <v>0</v>
      </c>
      <c r="T4">
        <f>'opt 1'!S3</f>
        <v>0</v>
      </c>
      <c r="U4">
        <f>'opt 1'!T3</f>
        <v>0</v>
      </c>
      <c r="V4">
        <f>'opt 1'!U3</f>
        <v>0</v>
      </c>
      <c r="W4">
        <f>'opt 1'!V3</f>
        <v>0</v>
      </c>
      <c r="X4">
        <f>'opt 1'!W3</f>
        <v>0</v>
      </c>
      <c r="Y4">
        <f>'opt 1'!X3</f>
        <v>0</v>
      </c>
      <c r="Z4">
        <f>'opt 1'!Y3</f>
        <v>0</v>
      </c>
    </row>
    <row r="5" spans="1:26" x14ac:dyDescent="0.25">
      <c r="A5" t="s">
        <v>36</v>
      </c>
      <c r="B5" s="22">
        <f>100-C5-D5-E5-F5-G5-H5-I5-J5-K5-L5-M5-N5-O5</f>
        <v>92.896263208412606</v>
      </c>
      <c r="C5" s="94">
        <f>C4+E4+F4+G4+H4+I4</f>
        <v>2.6673967307083197</v>
      </c>
      <c r="D5" s="95">
        <f>D4</f>
        <v>1.3390140731654472</v>
      </c>
      <c r="E5" s="25"/>
      <c r="F5" s="22"/>
      <c r="G5" s="22"/>
      <c r="H5" s="22"/>
      <c r="I5" s="22"/>
      <c r="J5" s="94">
        <f>J4</f>
        <v>3.9237609914021089E-3</v>
      </c>
      <c r="K5" s="94">
        <f>K4+L4+M4+N4+O4+P4</f>
        <v>3.0934022267222323</v>
      </c>
      <c r="L5" s="22"/>
      <c r="M5" s="22"/>
      <c r="N5" s="22"/>
      <c r="O5" s="22"/>
      <c r="P5" s="22"/>
    </row>
    <row r="6" spans="1:26" x14ac:dyDescent="0.25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26" ht="18" x14ac:dyDescent="0.25">
      <c r="A7" t="s">
        <v>92</v>
      </c>
      <c r="B7" s="4">
        <f>100-C7-D7-E7-F7-G7-H7-I7-J7-K7-L7-M7-N7-O7-P7-Q7-R7-S7-T7-U7-V7-W7-X7-Y7-Z7</f>
        <v>84.70207401355232</v>
      </c>
      <c r="C7" s="6">
        <f>C2-E4-F4-G4-H4-I4</f>
        <v>14.433126008327376</v>
      </c>
      <c r="D7" s="6">
        <f>D2</f>
        <v>3.8397329999999998</v>
      </c>
      <c r="E7" s="6"/>
      <c r="F7" s="6"/>
      <c r="G7" s="6"/>
      <c r="H7" s="6"/>
      <c r="I7" s="6"/>
      <c r="J7" s="6">
        <v>8.3472000000000005E-2</v>
      </c>
      <c r="K7" s="6">
        <f>K2-L4-M4-N4-O4-P4-Q4-R4-S4-T4-U4-V4-W4-X4-Y4-Z4</f>
        <v>-3.0584050218796959</v>
      </c>
      <c r="L7" s="6"/>
      <c r="M7" s="6"/>
      <c r="N7" s="6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25"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26" x14ac:dyDescent="0.25">
      <c r="B9" s="22"/>
      <c r="C9" s="22"/>
      <c r="D9" s="22"/>
      <c r="E9" s="22"/>
      <c r="F9" s="22" t="s">
        <v>7</v>
      </c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26" x14ac:dyDescent="0.25">
      <c r="A10" t="s">
        <v>32</v>
      </c>
      <c r="B10" s="24"/>
      <c r="C10" s="24"/>
      <c r="D10" s="22"/>
      <c r="E10" s="24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spans="1:26" x14ac:dyDescent="0.25">
      <c r="A11" t="s">
        <v>33</v>
      </c>
      <c r="B11" s="25"/>
      <c r="C11" s="25"/>
      <c r="D11" s="22"/>
      <c r="E11" s="25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spans="1:26" x14ac:dyDescent="0.25"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</row>
    <row r="13" spans="1:26" x14ac:dyDescent="0.25">
      <c r="B13" s="22" t="s">
        <v>14</v>
      </c>
      <c r="C13" s="24" t="s">
        <v>56</v>
      </c>
      <c r="D13" s="24" t="s">
        <v>15</v>
      </c>
      <c r="E13" s="25" t="s">
        <v>8</v>
      </c>
      <c r="F13" s="24" t="s">
        <v>9</v>
      </c>
      <c r="G13" s="24" t="s">
        <v>57</v>
      </c>
      <c r="H13" s="25" t="s">
        <v>58</v>
      </c>
      <c r="I13" s="24" t="s">
        <v>77</v>
      </c>
      <c r="J13" s="25" t="s">
        <v>13</v>
      </c>
      <c r="K13" s="24" t="s">
        <v>16</v>
      </c>
      <c r="L13" s="24" t="s">
        <v>55</v>
      </c>
      <c r="M13" s="25" t="s">
        <v>44</v>
      </c>
      <c r="N13" s="25" t="s">
        <v>10</v>
      </c>
      <c r="O13" s="24" t="s">
        <v>12</v>
      </c>
      <c r="P13" s="22"/>
    </row>
    <row r="14" spans="1:26" x14ac:dyDescent="0.25">
      <c r="A14" t="s">
        <v>39</v>
      </c>
      <c r="B14" s="22">
        <f>100-(C14+D14+E14+F14+G14+H14+I14+J14+K14+L14+M14+N14+O14)</f>
        <v>80.63439145000001</v>
      </c>
      <c r="C14" s="22">
        <f>C5-C1</f>
        <v>15.358931549999998</v>
      </c>
      <c r="D14" s="22">
        <f>D5-D1</f>
        <v>3.8397329999999998</v>
      </c>
      <c r="E14" s="22">
        <f t="shared" ref="E14:I14" si="1">E5</f>
        <v>0</v>
      </c>
      <c r="F14" s="22">
        <f t="shared" si="1"/>
        <v>0</v>
      </c>
      <c r="G14" s="22">
        <f t="shared" si="1"/>
        <v>0</v>
      </c>
      <c r="H14" s="22">
        <f t="shared" si="1"/>
        <v>0</v>
      </c>
      <c r="I14" s="22">
        <f t="shared" si="1"/>
        <v>0</v>
      </c>
      <c r="J14" s="22">
        <f>J5-J1</f>
        <v>8.3472000000000005E-2</v>
      </c>
      <c r="K14" s="22">
        <f>K5-K1</f>
        <v>8.3471999999999991E-2</v>
      </c>
      <c r="L14" s="22">
        <f t="shared" ref="L14:O14" si="2">L5</f>
        <v>0</v>
      </c>
      <c r="M14" s="22">
        <f t="shared" si="2"/>
        <v>0</v>
      </c>
      <c r="N14" s="22">
        <f t="shared" si="2"/>
        <v>0</v>
      </c>
      <c r="O14" s="22">
        <f t="shared" si="2"/>
        <v>0</v>
      </c>
      <c r="P14" s="22"/>
    </row>
    <row r="17" spans="2:51" ht="18.75" x14ac:dyDescent="0.3">
      <c r="B17" s="34" t="s">
        <v>14</v>
      </c>
      <c r="C17" s="34" t="s">
        <v>56</v>
      </c>
      <c r="D17" s="34" t="s">
        <v>15</v>
      </c>
      <c r="E17" s="34" t="s">
        <v>8</v>
      </c>
      <c r="F17" s="34" t="s">
        <v>9</v>
      </c>
      <c r="G17" s="34" t="s">
        <v>57</v>
      </c>
      <c r="H17" s="34" t="s">
        <v>58</v>
      </c>
      <c r="I17" s="34" t="s">
        <v>77</v>
      </c>
      <c r="J17" s="34" t="s">
        <v>13</v>
      </c>
      <c r="K17" s="34" t="s">
        <v>16</v>
      </c>
      <c r="L17" s="34" t="s">
        <v>55</v>
      </c>
      <c r="M17" s="34" t="s">
        <v>44</v>
      </c>
      <c r="N17" s="34" t="s">
        <v>43</v>
      </c>
      <c r="O17" s="34" t="s">
        <v>12</v>
      </c>
      <c r="P17" s="35" t="s">
        <v>80</v>
      </c>
      <c r="Q17" s="35" t="s">
        <v>81</v>
      </c>
      <c r="R17" s="35" t="s">
        <v>82</v>
      </c>
      <c r="S17" s="35" t="s">
        <v>83</v>
      </c>
      <c r="T17" s="35" t="s">
        <v>45</v>
      </c>
      <c r="U17" s="35" t="s">
        <v>17</v>
      </c>
      <c r="V17" s="35" t="s">
        <v>84</v>
      </c>
      <c r="W17" s="35" t="s">
        <v>0</v>
      </c>
      <c r="X17" s="35" t="s">
        <v>11</v>
      </c>
      <c r="Y17" s="35" t="s">
        <v>10</v>
      </c>
      <c r="Z17" s="35" t="s">
        <v>46</v>
      </c>
      <c r="AA17" s="67" t="s">
        <v>14</v>
      </c>
      <c r="AB17" s="58" t="s">
        <v>56</v>
      </c>
      <c r="AC17" s="59" t="s">
        <v>15</v>
      </c>
      <c r="AD17" s="60" t="s">
        <v>8</v>
      </c>
      <c r="AE17" s="59" t="s">
        <v>9</v>
      </c>
      <c r="AF17" s="59" t="s">
        <v>57</v>
      </c>
      <c r="AG17" s="60" t="s">
        <v>58</v>
      </c>
      <c r="AH17" s="59" t="s">
        <v>77</v>
      </c>
      <c r="AI17" s="61" t="s">
        <v>13</v>
      </c>
      <c r="AJ17" s="62" t="s">
        <v>16</v>
      </c>
      <c r="AK17" s="62" t="s">
        <v>55</v>
      </c>
      <c r="AL17" s="63" t="s">
        <v>44</v>
      </c>
      <c r="AM17" s="63" t="s">
        <v>43</v>
      </c>
      <c r="AN17" s="62" t="s">
        <v>12</v>
      </c>
      <c r="AO17" s="35" t="s">
        <v>80</v>
      </c>
      <c r="AP17" s="35" t="s">
        <v>81</v>
      </c>
      <c r="AQ17" s="35" t="s">
        <v>82</v>
      </c>
      <c r="AR17" s="35" t="s">
        <v>83</v>
      </c>
      <c r="AS17" s="35" t="s">
        <v>45</v>
      </c>
      <c r="AT17" s="35" t="s">
        <v>17</v>
      </c>
      <c r="AU17" s="35" t="s">
        <v>84</v>
      </c>
      <c r="AV17" s="35" t="s">
        <v>0</v>
      </c>
      <c r="AW17" s="35" t="s">
        <v>11</v>
      </c>
      <c r="AX17" s="35" t="s">
        <v>10</v>
      </c>
      <c r="AY17" s="35" t="s">
        <v>46</v>
      </c>
    </row>
    <row r="18" spans="2:51" ht="18.75" x14ac:dyDescent="0.3">
      <c r="B18" s="36">
        <f>100-C18-D18-E18-F18-G18-H18-I18-J18-K18-L18-M18-N18-O18-P18-Q18-R18-S18-T18-U18-V18-W18-X18-Y18-Z18</f>
        <v>80.634391449999995</v>
      </c>
      <c r="C18" s="37">
        <f>C7</f>
        <v>14.433126008327376</v>
      </c>
      <c r="D18" s="37">
        <f>D7</f>
        <v>3.8397329999999998</v>
      </c>
      <c r="E18" s="37">
        <f>E4</f>
        <v>0</v>
      </c>
      <c r="F18" s="37">
        <f>F4</f>
        <v>0</v>
      </c>
      <c r="G18" s="37">
        <f>G4</f>
        <v>0.91521970155323784</v>
      </c>
      <c r="H18" s="37">
        <f>H4</f>
        <v>8.8718546811123438E-3</v>
      </c>
      <c r="I18" s="37">
        <f>I4</f>
        <v>1.7139854382745025E-3</v>
      </c>
      <c r="J18" s="37">
        <f>J7</f>
        <v>8.3472000000000005E-2</v>
      </c>
      <c r="K18" s="37">
        <f>K7</f>
        <v>-3.0584050218796959</v>
      </c>
      <c r="L18" s="37">
        <f t="shared" ref="L18:Z18" si="3">L4</f>
        <v>1.6006086588236572</v>
      </c>
      <c r="M18" s="37">
        <f t="shared" si="3"/>
        <v>2.2612196288118464E-3</v>
      </c>
      <c r="N18" s="37">
        <f t="shared" si="3"/>
        <v>1.3740766327042508</v>
      </c>
      <c r="O18" s="37">
        <f t="shared" si="3"/>
        <v>0.10882959025400381</v>
      </c>
      <c r="P18" s="37">
        <f t="shared" si="3"/>
        <v>0</v>
      </c>
      <c r="Q18" s="37">
        <f t="shared" si="3"/>
        <v>5.6100920468972061E-2</v>
      </c>
      <c r="R18" s="37">
        <f t="shared" si="3"/>
        <v>0</v>
      </c>
      <c r="S18" s="37">
        <f t="shared" si="3"/>
        <v>0</v>
      </c>
      <c r="T18" s="37">
        <f t="shared" si="3"/>
        <v>0</v>
      </c>
      <c r="U18" s="37">
        <f t="shared" si="3"/>
        <v>0</v>
      </c>
      <c r="V18" s="37">
        <f t="shared" si="3"/>
        <v>0</v>
      </c>
      <c r="W18" s="37">
        <f t="shared" si="3"/>
        <v>0</v>
      </c>
      <c r="X18" s="37">
        <f t="shared" si="3"/>
        <v>0</v>
      </c>
      <c r="Y18" s="37">
        <f t="shared" si="3"/>
        <v>0</v>
      </c>
      <c r="Z18" s="37">
        <f t="shared" si="3"/>
        <v>0</v>
      </c>
      <c r="AA18" s="68">
        <v>55.84</v>
      </c>
      <c r="AB18" s="7">
        <v>12.01</v>
      </c>
      <c r="AC18" s="7">
        <v>28.0855</v>
      </c>
      <c r="AD18" s="7">
        <v>58.693399999999997</v>
      </c>
      <c r="AE18" s="7">
        <v>63.545999999999999</v>
      </c>
      <c r="AF18" s="7">
        <v>30.973762000000001</v>
      </c>
      <c r="AG18" s="7">
        <v>32.064999999999998</v>
      </c>
      <c r="AH18" s="7">
        <v>14.0067</v>
      </c>
      <c r="AI18" s="7">
        <v>24.305</v>
      </c>
      <c r="AJ18" s="7">
        <v>54.938043999999998</v>
      </c>
      <c r="AK18" s="7">
        <v>95.95</v>
      </c>
      <c r="AL18" s="7">
        <v>51.996099999999998</v>
      </c>
      <c r="AM18" s="7">
        <v>58.933194999999998</v>
      </c>
      <c r="AN18" s="7">
        <v>26.981539999999999</v>
      </c>
      <c r="AO18">
        <v>50.941499999999998</v>
      </c>
      <c r="AP18">
        <v>92.906369999999995</v>
      </c>
      <c r="AQ18">
        <v>183.84</v>
      </c>
      <c r="AR18">
        <v>180.94788</v>
      </c>
      <c r="AS18">
        <v>91.224000000000004</v>
      </c>
      <c r="AT18">
        <v>47.866999999999997</v>
      </c>
      <c r="AU18">
        <v>186.20699999999999</v>
      </c>
      <c r="AV18">
        <v>121.76</v>
      </c>
      <c r="AW18" s="7">
        <v>207.2</v>
      </c>
      <c r="AX18" s="7">
        <v>118.71</v>
      </c>
      <c r="AY18" s="7">
        <v>208.9804</v>
      </c>
    </row>
    <row r="19" spans="2:51" ht="18.75" x14ac:dyDescent="0.3">
      <c r="B19" s="36">
        <f>100*((((B18)*(AA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X18))+((Y18)*(AX18))+((Z18)*(AY18)))))</f>
        <v>92.091531444028249</v>
      </c>
      <c r="C19" s="36">
        <f>100*((((C18)*(AB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X18))+((Y18)*(AX18))+((Z18)*(AY18)))))</f>
        <v>3.5453358606870577</v>
      </c>
      <c r="D19" s="36">
        <f>100*((((D18)*(AC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X18))+((Y18)*(AX18))+((Z18)*(AY18)))))</f>
        <v>2.2056528483500553</v>
      </c>
      <c r="E19" s="36">
        <f>100*((((E18)*(AD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X18))+((Y18)*(AX18))+((Z18)*(AY18)))))</f>
        <v>0</v>
      </c>
      <c r="F19" s="36">
        <f>100*((((F18)*(AE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X18))+((Y18)*(AX18))+((Z18)*(AY18)))))</f>
        <v>0</v>
      </c>
      <c r="G19" s="36">
        <f>100*((((G18)*(AF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X18))+((Y18)*(AX18))+((Z18)*(AY18)))))</f>
        <v>0.57979343062714994</v>
      </c>
      <c r="H19" s="36">
        <f>100*((((H18)*(AG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X18))+((Y18)*(AX18))+((Z18)*(AY18)))))</f>
        <v>5.8183472432403547E-3</v>
      </c>
      <c r="I19" s="36">
        <f>100*((((I18)*(AH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X18))+((Y18)*(AX18))+((Z18)*(AY18)))))</f>
        <v>4.9101745128802838E-4</v>
      </c>
      <c r="J19" s="36">
        <f>100*((((J18)*(AI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X18))+((Y18)*(AX18))+((Z18)*(AY18)))))</f>
        <v>4.1494488714094127E-2</v>
      </c>
      <c r="K19" s="36">
        <f>100*((((K18)*(AJ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X18))+((Y18)*(AX18))+((Z18)*(AY18)))))</f>
        <v>-3.4365460182838272</v>
      </c>
      <c r="L19" s="36">
        <f>100*((((L18)*(AK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X18))+((Y18)*(AX18))+((Z18)*(AY18)))))</f>
        <v>3.141117004868041</v>
      </c>
      <c r="M19" s="36">
        <f>100*((((M18)*(AL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X18))+((Y18)*(AX18))+((Z18)*(AY18)))))</f>
        <v>2.4047364703746279E-3</v>
      </c>
      <c r="N19" s="36">
        <f>100*((((N18)*(AM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X18))+((Y18)*(AX18))+((Z18)*(AY18)))))</f>
        <v>1.6562462713690858</v>
      </c>
      <c r="O19" s="36">
        <f>100*((((O18)*(AN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X18))+((Y18)*(AX18))+((Z18)*(AY18)))))</f>
        <v>6.0057562344697168E-2</v>
      </c>
      <c r="P19" s="36">
        <f>100*((((P18)/(AO18))/(((B18)/(AA18))+((C18)/(AB18))+((D18)/(AC18))+((E18)/(AD18))+((F18)/(AE18))+((G18)/(AF18))+((H18)/(AG18))+((I18)/(AH18))+((J18)/(AI18))+((K18)/(AJ18))+((L18)/(AK18))+((M18)/(AL18))+((N18)/(AM18))+((O18)/(AN18))+((P18)/(AO18))+((Q18)/(AP18))+((R18)/(AQ18))+((S18)/(AR18))+((T18)/(AS18))+((U18)/(AT18))+((V18)/(AU18))+((W18)/(AV18))+((X18)/(AX18))+((Y18)/(AX18))+((Z18)/(AY18)))))</f>
        <v>0</v>
      </c>
      <c r="Q19" s="36">
        <f>100*((((Q18)*(AP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X18))+((Y18)*(AX18))+((Z18)*(AY18)))))</f>
        <v>0.10660300613053604</v>
      </c>
      <c r="R19" s="36">
        <f>100*((((R18)*(AQ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X18))+((Y18)*(AX18))+((Z18)*(AY18)))))</f>
        <v>0</v>
      </c>
      <c r="S19" s="36">
        <f>100*((((S18)*(AR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X18))+((Y18)*(AX18))+((Z18)*(AY18)))))</f>
        <v>0</v>
      </c>
      <c r="T19" s="36">
        <f>100*((((T18)*(AS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X18))+((Y18)*(AX18))+((Z18)*(AY18)))))</f>
        <v>0</v>
      </c>
      <c r="U19" s="36">
        <f>100*((((U18)*(AT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X18))+((Y18)*(AX18))+((Z18)*(AY18)))))</f>
        <v>0</v>
      </c>
      <c r="V19" s="36">
        <f>100*((((V18)*(AU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X18))+((Y18)*(AX18))+((Z18)*(AY18)))))</f>
        <v>0</v>
      </c>
      <c r="W19" s="36">
        <f>100*((((W18)*(AV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X18))+((Y18)*(AX18))+((Z18)*(AY18)))))</f>
        <v>0</v>
      </c>
      <c r="X19" s="7">
        <f>100*((((X18)*(AW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X18))+((Y18)*(AX18))+((Z18)*(AY18)))))</f>
        <v>0</v>
      </c>
      <c r="Y19" s="7">
        <f>100*((((Y18)*(AX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X18))+((Y18)*(AX18))+((Z18)*(AY18)))))</f>
        <v>0</v>
      </c>
      <c r="Z19" s="7">
        <f>100*((((Z18)*(AY18))/(((B18)*(AA18))+((C18)*(AB18))+((D18)*(AC18))+((E18)*(AD18))+((F18)*(AE18))+((G18)*(AF18))+((H18)*(AG18))+((I18)*(AH18))+((J18)*(AI18))+((K18)*(AJ18))+((L18)*(AK18))+((M18)*(AL18))+((N18)*(AM18))+((O18)*(AN18))+((P18)*(AO18))+((Q18)*(AP18))+((R18)*(AQ18))+((S18)*(AR18))+((T18)*(AS18))+((U18)*(AT18))+((V18)*(AU18))+((W18)*(AV18))+((X18)*(AX18))+((Y18)*(AX18))+((Z18)*(AY18)))))</f>
        <v>0</v>
      </c>
      <c r="AA19" s="68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</sheetData>
  <pageMargins left="0.7" right="0.7" top="0.75" bottom="0.75" header="0.3" footer="0.3"/>
  <pageSetup paperSize="9" orientation="portrait" verticalDpi="597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6076-20B4-40A3-8785-299A1E347D50}">
  <dimension ref="A1:AO4"/>
  <sheetViews>
    <sheetView workbookViewId="0">
      <selection activeCell="H24" sqref="H24"/>
    </sheetView>
  </sheetViews>
  <sheetFormatPr baseColWidth="10" defaultRowHeight="15" x14ac:dyDescent="0.25"/>
  <sheetData>
    <row r="1" spans="1:41" x14ac:dyDescent="0.25">
      <c r="A1" s="2" t="s">
        <v>14</v>
      </c>
      <c r="B1" s="2" t="s">
        <v>56</v>
      </c>
      <c r="C1" s="2" t="s">
        <v>15</v>
      </c>
      <c r="D1" s="2" t="s">
        <v>8</v>
      </c>
      <c r="E1" s="2" t="s">
        <v>9</v>
      </c>
      <c r="F1" s="2" t="s">
        <v>57</v>
      </c>
      <c r="G1" s="2" t="s">
        <v>58</v>
      </c>
      <c r="H1" s="2" t="s">
        <v>77</v>
      </c>
      <c r="I1" s="2" t="s">
        <v>13</v>
      </c>
      <c r="J1" s="2" t="s">
        <v>16</v>
      </c>
      <c r="K1" s="2" t="s">
        <v>55</v>
      </c>
      <c r="L1" s="2" t="s">
        <v>44</v>
      </c>
      <c r="M1" s="2" t="s">
        <v>10</v>
      </c>
      <c r="N1" s="2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Z1" s="2" t="s">
        <v>14</v>
      </c>
      <c r="AA1" s="2" t="s">
        <v>56</v>
      </c>
      <c r="AB1" s="2" t="s">
        <v>15</v>
      </c>
      <c r="AC1" s="2" t="s">
        <v>8</v>
      </c>
      <c r="AD1" s="2" t="s">
        <v>9</v>
      </c>
      <c r="AE1" s="2" t="s">
        <v>57</v>
      </c>
      <c r="AF1" s="2" t="s">
        <v>58</v>
      </c>
      <c r="AG1" s="2" t="s">
        <v>77</v>
      </c>
      <c r="AH1" s="2" t="s">
        <v>13</v>
      </c>
      <c r="AI1" s="2" t="s">
        <v>16</v>
      </c>
      <c r="AJ1" s="2" t="s">
        <v>55</v>
      </c>
      <c r="AK1" s="2" t="s">
        <v>44</v>
      </c>
      <c r="AL1" s="2" t="s">
        <v>10</v>
      </c>
      <c r="AM1" s="2" t="s">
        <v>12</v>
      </c>
      <c r="AN1" s="2"/>
      <c r="AO1" s="2" t="s">
        <v>78</v>
      </c>
    </row>
    <row r="2" spans="1:41" ht="15.75" x14ac:dyDescent="0.25">
      <c r="A2">
        <f>100-B2-C2-D2-E2-F2-G2-H2-I2-J2-K2-L2-M2-N2</f>
        <v>80.824921442877056</v>
      </c>
      <c r="B2" s="6">
        <v>14.6082775575662</v>
      </c>
      <c r="C2" s="6">
        <v>4.2981396398143303</v>
      </c>
      <c r="D2" s="6"/>
      <c r="E2" s="6"/>
      <c r="F2" s="6"/>
      <c r="G2" s="6"/>
      <c r="H2" s="6"/>
      <c r="I2" s="6">
        <v>0.123775734117873</v>
      </c>
      <c r="J2" s="6">
        <v>0.1448856256245416</v>
      </c>
      <c r="K2" s="6"/>
      <c r="L2" s="6"/>
      <c r="M2" s="6"/>
      <c r="N2" s="6"/>
      <c r="Z2">
        <v>55.84</v>
      </c>
      <c r="AA2">
        <v>12.01</v>
      </c>
      <c r="AB2">
        <v>28.085000000000001</v>
      </c>
      <c r="AC2">
        <v>58.692999999999998</v>
      </c>
      <c r="AD2">
        <v>63.54</v>
      </c>
      <c r="AE2">
        <v>30.973299999999998</v>
      </c>
      <c r="AF2">
        <v>32.066000000000003</v>
      </c>
      <c r="AG2">
        <v>14.0067</v>
      </c>
      <c r="AH2">
        <v>24.305</v>
      </c>
      <c r="AI2">
        <v>54.93</v>
      </c>
      <c r="AJ2">
        <v>95.94</v>
      </c>
      <c r="AK2">
        <v>51.99</v>
      </c>
      <c r="AL2">
        <v>118.71</v>
      </c>
      <c r="AM2">
        <v>26.9815</v>
      </c>
      <c r="AO2">
        <v>114.82</v>
      </c>
    </row>
    <row r="3" spans="1:41" x14ac:dyDescent="0.25">
      <c r="A3">
        <f>100*((((A2)*(Z2))/(((A2)*(Z2))+((B2)*(AA2))+((C2)*(AB2))+((D2)*(AC2))+((E2)*(AD2))+((F2)*(AE2))+((G2)*(AF2))+((H2)*(AG2))+((I2)*(AH2))+((J2)*(AI2))+((K2)*(AJ2))+((L2)*(AK2))+((M2)*(AL2))+((N2)*(AM2)))))</f>
        <v>93.628614035730777</v>
      </c>
      <c r="B3">
        <f>100*((((B2)*(AA2))/(((A2)*(Z2))+((B2)*(AA2))+((C2)*(AB2))+((D2)*(AC2))+((E2)*(AD2))+((F2)*(AE2))+((G2)*(AF2))+((H2)*(AG2))+((I2)*(AH2))+((J2)*(AI2))+((K2)*(AJ2))+((L2)*(AK2))+((M2)*(AL2))+((N2)*(AM2)))))</f>
        <v>3.6396524353505266</v>
      </c>
      <c r="C3">
        <f>100*((((C2)*(AB2))/(((A2)*(Z2))+((B2)*(AA2))+((C2)*(AB2))+((D2)*(AC2))+((E2)*(AD2))+((F2)*(AE2))+((G2)*(AF2))+((H2)*(AG2))+((I2)*(AH2))+((J2)*(AI2))+((K2)*(AJ2))+((L2)*(AK2))+((M2)*(AL2))+((N2)*(AM2)))))</f>
        <v>2.5042220948090432</v>
      </c>
      <c r="D3">
        <f>100*((((D2)*(AC2))/(((A2)*(Z2))+((B2)*(AA2))+((C2)*(AB2))+((D2)*(AC2))+((E2)*(AD2))+((F2)*(AE2))+((G2)*(AF2))+((H2)*(AG2))+((I2)*(AH2))+((J2)*(AI2))+((K2)*(AJ2))+((L2)*(AK2))+((M2)*(AL2))+((N2)*(AM2)))))</f>
        <v>0</v>
      </c>
      <c r="E3">
        <f>100*((((E2)*(AD2))/(((A2)*(Z2))+((B2)*(AA2))+((C2)*(AB2))+((D2)*(AC2))+((E2)*(AD2))+((F2)*(AE2))+((G2)*(AF2))+((H2)*(AG2))+((I2)*(AH2))+((J2)*(AI2))+((K2)*(AJ2))+((L2)*(AK2))+((M2)*(AL2))+((N2)*(AM2)))))</f>
        <v>0</v>
      </c>
      <c r="F3">
        <f>100*((((F2)*(AE2))/(((A2)*(Z2))+((B2)*(AA2))+((C2)*(AB2))+((D2)*(AC2))+((E2)*(AD2))+((F2)*(AE2))+((G2)*(AF2))+((H2)*(AG2))+((I2)*(AH2))+((J2)*(AI2))+((K2)*(AJ2))+((L2)*(AK2))+((M2)*(AL2))+((N2)*(AM2)))))</f>
        <v>0</v>
      </c>
      <c r="G3">
        <f>100*((((G2)*(AF2))/(((A2)*(Z2))+((B2)*(AA2))+((C2)*(AB2))+((D2)*(AC2))+((E2)*(AD2))+((F2)*(AE2))+((G2)*(AF2))+((H2)*(AG2))+((I2)*(AH2))+((J2)*(AI2))+((K2)*(AJ2))+((L2)*(AK2))+((M2)*(AL2))+((N2)*(AM2)))))</f>
        <v>0</v>
      </c>
      <c r="H3">
        <f>100*((((H2)*(AG2))/(((A2)*(Z2))+((B2)*(AA2))+((C2)*(AB2))+((D2)*(AC2))+((E2)*(AD2))+((F2)*(AE2))+((G2)*(AF2))+((H2)*(AG2))+((I2)*(AH2))+((J2)*(AI2))+((K2)*(AJ2))+((L2)*(AK2))+((M2)*(AL2))+((N2)*(AM2)))))</f>
        <v>0</v>
      </c>
      <c r="I3">
        <f>100*((((I2)*(AH2))/(((A2)*(Z2))+((B2)*(AA2))+((C2)*(AB2))+((D2)*(AC2))+((E2)*(AD2))+((F2)*(AE2))+((G2)*(AF2))+((H2)*(AG2))+((I2)*(AH2))+((J2)*(AI2))+((K2)*(AJ2))+((L2)*(AK2)))))</f>
        <v>6.2409259572130206E-2</v>
      </c>
      <c r="J3">
        <f>100*((((J2)*(AI2))/(((A2)*(Z2))+((B2)*(AA2))+((C2)*(AB2))+((D2)*(AC2))+((E2)*(AD2))+((F2)*(AE2))+((G2)*(AF2))+((H2)*(AG2))+((I2)*(AH2))+((J2)*(AI2))+((K2)*(AJ2))+((L2)*(AK2))+((M2)*(AL2))+((N2)*(AM2)))))</f>
        <v>0.16510217453750861</v>
      </c>
      <c r="K3">
        <f>100*((((K2)*(AJ2))/(((A2)*(Z2))+((B2)*(AA2))+((C2)*(AB2))+((D2)*(AC2))+((E2)*(AD2))+((F2)*(AE2))+((G2)*(AF2))+((H2)*(AG2))+((I2)*(AH2))+((J2)*(AI2))+((K2)*(AJ2))+((L2)*(AK2))+((M2)*(AL2))+((N2)*(AM2)))))</f>
        <v>0</v>
      </c>
      <c r="L3">
        <f>100*((((L2)*(AK2))/(((A2)*(Z2))+((B2)*(AA2))+((C2)*(AB2))+((D2)*(AC2))+((E2)*(AD2))+((F2)*(AE2))+((G2)*(AF2))+((H2)*(AG2))+((I2)*(AH2))+((J2)*(AI2))+((K2)*(AJ2))+((L2)*(AK2))+((M2)*(AL2))+((N2)*(AM2)))))</f>
        <v>0</v>
      </c>
      <c r="M3">
        <f>100*((((M2)*(AL2))/(((A2)*(Z2))+((B2)*(AA2))+((C2)*(AB2))+((D2)*(AC2))+((E2)*(AD2))+((F2)*(AE2))+((G2)*(AF2))+((H2)*(AG2))+((I2)*(AH2))+((J2)*(AI2))+((K2)*(AJ2))+((L2)*(AK2))+((M2)*(AL2))+((N2)*(AM2)))))</f>
        <v>0</v>
      </c>
      <c r="N3">
        <f>100*((((N2)*(AM2))/(((A2)*(Z2))+((B2)*(AA2))+((C2)*(AB2))+((D2)*(AC2))+((E2)*(AD2))+((F2)*(AE2))+((G2)*(AF2))+((H2)*(AG2))+((I2)*(AH2))+((J2)*(AI2))+((K2)*(AJ2))+((L2)*(AK2))+((M2)*(AL2))+((N2)*(AM2)))))</f>
        <v>0</v>
      </c>
      <c r="Z3">
        <v>26.98</v>
      </c>
      <c r="AA3">
        <v>63.54</v>
      </c>
      <c r="AB3">
        <v>54.93</v>
      </c>
      <c r="AC3">
        <v>58.93</v>
      </c>
      <c r="AD3">
        <v>58.69</v>
      </c>
      <c r="AE3">
        <v>55.847000000000001</v>
      </c>
      <c r="AF3">
        <v>24.3</v>
      </c>
      <c r="AG3">
        <v>47.88</v>
      </c>
      <c r="AH3">
        <v>91.22</v>
      </c>
      <c r="AI3">
        <v>51.99</v>
      </c>
      <c r="AJ3">
        <v>65.39</v>
      </c>
      <c r="AK3">
        <v>28.08</v>
      </c>
      <c r="AL3">
        <v>118.71</v>
      </c>
      <c r="AM3">
        <v>208.9804</v>
      </c>
      <c r="AO3">
        <v>114.82</v>
      </c>
    </row>
    <row r="4" spans="1:41" x14ac:dyDescent="0.25">
      <c r="Z4">
        <v>26.98</v>
      </c>
      <c r="AA4">
        <v>63.54</v>
      </c>
      <c r="AB4">
        <v>54.93</v>
      </c>
      <c r="AC4">
        <v>58.93</v>
      </c>
      <c r="AD4">
        <v>58.69</v>
      </c>
      <c r="AE4">
        <v>55.847000000000001</v>
      </c>
      <c r="AF4">
        <v>24.3</v>
      </c>
      <c r="AG4">
        <v>47.88</v>
      </c>
      <c r="AH4">
        <v>91.22</v>
      </c>
      <c r="AI4">
        <v>51.99</v>
      </c>
      <c r="AJ4">
        <v>65.39</v>
      </c>
      <c r="AK4">
        <v>28.08</v>
      </c>
      <c r="AL4">
        <v>118.71</v>
      </c>
      <c r="AM4">
        <v>208.9804</v>
      </c>
      <c r="AO4">
        <v>114.82</v>
      </c>
    </row>
  </sheetData>
  <pageMargins left="0.7" right="0.7" top="0.78740157499999996" bottom="0.78740157499999996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1464-E517-4203-A21D-9423CD7B965B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C84C-5886-4050-B9A8-89E3234722CC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A97B4-B6E2-4F0C-86E2-59BE3CC87192}">
  <dimension ref="A1:AX5"/>
  <sheetViews>
    <sheetView topLeftCell="W1" zoomScale="91" zoomScaleNormal="91" workbookViewId="0">
      <selection activeCell="Z1" sqref="Z1:AX2"/>
    </sheetView>
  </sheetViews>
  <sheetFormatPr baseColWidth="10" defaultRowHeight="15" x14ac:dyDescent="0.25"/>
  <cols>
    <col min="2" max="2" width="12" customWidth="1"/>
    <col min="4" max="4" width="10.42578125" customWidth="1"/>
    <col min="5" max="5" width="9" customWidth="1"/>
    <col min="6" max="6" width="9.7109375" customWidth="1"/>
    <col min="7" max="7" width="7.28515625" customWidth="1"/>
    <col min="8" max="8" width="10.85546875" customWidth="1"/>
    <col min="9" max="9" width="15" customWidth="1"/>
    <col min="10" max="10" width="12.5703125" customWidth="1"/>
    <col min="11" max="11" width="10.140625" customWidth="1"/>
    <col min="12" max="12" width="7.28515625" customWidth="1"/>
    <col min="13" max="14" width="6.85546875" customWidth="1"/>
  </cols>
  <sheetData>
    <row r="1" spans="1:50" ht="18.75" x14ac:dyDescent="0.3">
      <c r="A1" s="210" t="s">
        <v>14</v>
      </c>
      <c r="B1" s="210" t="s">
        <v>15</v>
      </c>
      <c r="C1" s="210" t="s">
        <v>8</v>
      </c>
      <c r="D1" s="210" t="s">
        <v>9</v>
      </c>
      <c r="E1" s="210" t="s">
        <v>234</v>
      </c>
      <c r="F1" s="210" t="s">
        <v>56</v>
      </c>
      <c r="G1" s="210" t="s">
        <v>57</v>
      </c>
      <c r="H1" s="210" t="s">
        <v>58</v>
      </c>
      <c r="I1" s="210" t="s">
        <v>77</v>
      </c>
      <c r="J1" s="210" t="s">
        <v>204</v>
      </c>
      <c r="K1" s="210" t="s">
        <v>16</v>
      </c>
      <c r="L1" s="210" t="s">
        <v>12</v>
      </c>
      <c r="M1" s="210" t="s">
        <v>44</v>
      </c>
      <c r="N1" s="210" t="s">
        <v>55</v>
      </c>
      <c r="O1" s="210" t="s">
        <v>17</v>
      </c>
      <c r="P1" s="210" t="s">
        <v>80</v>
      </c>
      <c r="Q1" s="210" t="s">
        <v>81</v>
      </c>
      <c r="R1" s="210" t="s">
        <v>82</v>
      </c>
      <c r="S1" s="210" t="s">
        <v>83</v>
      </c>
      <c r="T1" s="210" t="s">
        <v>45</v>
      </c>
      <c r="U1" s="210" t="s">
        <v>43</v>
      </c>
      <c r="V1" s="210" t="s">
        <v>13</v>
      </c>
      <c r="W1" s="210" t="s">
        <v>0</v>
      </c>
      <c r="X1" s="210" t="s">
        <v>11</v>
      </c>
      <c r="Y1" s="210" t="s">
        <v>10</v>
      </c>
      <c r="Z1" s="67" t="s">
        <v>14</v>
      </c>
      <c r="AA1" s="58" t="s">
        <v>15</v>
      </c>
      <c r="AB1" s="59" t="s">
        <v>8</v>
      </c>
      <c r="AC1" s="60" t="s">
        <v>9</v>
      </c>
      <c r="AD1" s="59" t="s">
        <v>234</v>
      </c>
      <c r="AE1" s="59" t="s">
        <v>56</v>
      </c>
      <c r="AF1" s="60" t="s">
        <v>57</v>
      </c>
      <c r="AG1" s="59" t="s">
        <v>58</v>
      </c>
      <c r="AH1" s="61" t="s">
        <v>77</v>
      </c>
      <c r="AI1" s="62" t="s">
        <v>204</v>
      </c>
      <c r="AJ1" s="62" t="s">
        <v>16</v>
      </c>
      <c r="AK1" s="63" t="s">
        <v>13</v>
      </c>
      <c r="AL1" s="63" t="s">
        <v>44</v>
      </c>
      <c r="AM1" s="62" t="s">
        <v>55</v>
      </c>
      <c r="AN1" s="35" t="s">
        <v>17</v>
      </c>
      <c r="AO1" s="35" t="s">
        <v>80</v>
      </c>
      <c r="AP1" s="35" t="s">
        <v>81</v>
      </c>
      <c r="AQ1" s="35" t="s">
        <v>82</v>
      </c>
      <c r="AR1" s="35" t="s">
        <v>83</v>
      </c>
      <c r="AS1" s="35" t="s">
        <v>45</v>
      </c>
      <c r="AT1" s="35" t="s">
        <v>43</v>
      </c>
      <c r="AU1" s="35" t="s">
        <v>12</v>
      </c>
      <c r="AV1" s="35" t="s">
        <v>0</v>
      </c>
      <c r="AW1" s="35" t="s">
        <v>11</v>
      </c>
      <c r="AX1" s="35" t="s">
        <v>10</v>
      </c>
    </row>
    <row r="2" spans="1:50" ht="18.75" x14ac:dyDescent="0.3">
      <c r="A2" s="36">
        <f>100-B2-C2-D2-E2-F2-G2-H2-I2-J2-K2-L2-M2-N2-O2-P2-Q2-R2-S2-T2-U2-V2-W2-X2-Y2</f>
        <v>92.840162287943627</v>
      </c>
      <c r="B2" s="37">
        <f>'Tab1EQ 1_2'!C5</f>
        <v>1.741591189035695</v>
      </c>
      <c r="C2" s="37">
        <f>'Tab1EQ 1_2'!D5</f>
        <v>1.3390140731654472</v>
      </c>
      <c r="D2" s="37">
        <f>'Tab1EQ 1_2'!E5</f>
        <v>0</v>
      </c>
      <c r="E2" s="37">
        <f>'Tab1EQ 1_2'!F5</f>
        <v>0</v>
      </c>
      <c r="F2" s="37">
        <f>'Tab1EQ 1_2'!G5</f>
        <v>0.93961664760434727</v>
      </c>
      <c r="G2" s="37">
        <f>'Tab1EQ 1_2'!H5</f>
        <v>0</v>
      </c>
      <c r="H2" s="37">
        <f>'Tab1EQ 1_2'!I5</f>
        <v>0</v>
      </c>
      <c r="I2" s="37">
        <f>'Tab1EQ 1_2'!J5</f>
        <v>0</v>
      </c>
      <c r="J2" s="37">
        <f>'Tab1EQ 1_2'!K5</f>
        <v>0</v>
      </c>
      <c r="K2" s="37">
        <f>'Tab1EQ 1_2'!L5</f>
        <v>1.6006086588236572</v>
      </c>
      <c r="L2" s="37">
        <f>'Tab1EQ 1_2'!M5</f>
        <v>0</v>
      </c>
      <c r="M2" s="37">
        <f>'Tab1EQ 1_2'!N5</f>
        <v>1.3740766327042508</v>
      </c>
      <c r="N2" s="37">
        <f>'Tab1EQ 1_2'!O5</f>
        <v>0.10882959025400381</v>
      </c>
      <c r="O2" s="37">
        <f>'Tab1EQ 1_2'!P5</f>
        <v>0</v>
      </c>
      <c r="P2" s="37">
        <f>'Tab1EQ 1_2'!Q5</f>
        <v>5.6100920468972061E-2</v>
      </c>
      <c r="Q2" s="37">
        <f>'Tab1EQ 1_2'!R5</f>
        <v>0</v>
      </c>
      <c r="R2" s="37">
        <f>'Tab1EQ 1_2'!S5</f>
        <v>0</v>
      </c>
      <c r="S2" s="37">
        <f>'Tab1EQ 1_2'!T5</f>
        <v>0</v>
      </c>
      <c r="T2" s="37">
        <f>'Tab1EQ 1_2'!U5</f>
        <v>0</v>
      </c>
      <c r="U2" s="37">
        <f>'Tab1EQ 1_2'!V5</f>
        <v>0</v>
      </c>
      <c r="V2" s="37">
        <f>'Tab1EQ 1_2'!W5</f>
        <v>0</v>
      </c>
      <c r="W2" s="37">
        <f>'Tab1EQ 1_2'!X5</f>
        <v>0</v>
      </c>
      <c r="X2" s="37">
        <f>'Tab1EQ 1_2'!Y5</f>
        <v>0</v>
      </c>
      <c r="Y2" s="37">
        <f>'Tab1EQ 1_2'!Z5</f>
        <v>0</v>
      </c>
      <c r="Z2" s="68">
        <v>55.84</v>
      </c>
      <c r="AA2" s="7">
        <v>28.0855</v>
      </c>
      <c r="AB2" s="7">
        <v>58.693399999999997</v>
      </c>
      <c r="AC2" s="7">
        <v>63.545999999999999</v>
      </c>
      <c r="AD2" s="7">
        <v>65.38</v>
      </c>
      <c r="AE2" s="7">
        <v>12.01</v>
      </c>
      <c r="AF2" s="7">
        <v>30.973762000000001</v>
      </c>
      <c r="AG2" s="7">
        <v>32.064999999999998</v>
      </c>
      <c r="AH2" s="7">
        <v>14.0067</v>
      </c>
      <c r="AI2" s="7">
        <v>10.81</v>
      </c>
      <c r="AJ2" s="7">
        <v>54.938043999999998</v>
      </c>
      <c r="AK2" s="7">
        <v>24.305</v>
      </c>
      <c r="AL2" s="7">
        <v>51.996099999999998</v>
      </c>
      <c r="AM2" s="7">
        <v>95.95</v>
      </c>
      <c r="AN2">
        <v>47.866999999999997</v>
      </c>
      <c r="AO2">
        <v>50.941499999999998</v>
      </c>
      <c r="AP2">
        <v>92.906369999999995</v>
      </c>
      <c r="AQ2">
        <v>183.84</v>
      </c>
      <c r="AR2">
        <v>180.94788</v>
      </c>
      <c r="AS2">
        <v>91.224000000000004</v>
      </c>
      <c r="AT2">
        <v>58.933194999999998</v>
      </c>
      <c r="AU2">
        <v>26.981539999999999</v>
      </c>
      <c r="AV2" s="7">
        <v>121.76</v>
      </c>
      <c r="AW2" s="7">
        <v>207.2</v>
      </c>
      <c r="AX2" s="7">
        <v>118.71</v>
      </c>
    </row>
    <row r="3" spans="1:50" ht="18.75" x14ac:dyDescent="0.3">
      <c r="A3" s="36">
        <f>100*((((A2)*(Z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94.332432355284283</v>
      </c>
      <c r="B3" s="36">
        <f>100*((((B2)*(AA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0.89003710221410315</v>
      </c>
      <c r="C3" s="36">
        <f>100*((((C2)*(AB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1.4300596136698511</v>
      </c>
      <c r="D3" s="36">
        <f>100*((((D2)*(AC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E3" s="36">
        <f>100*((((E2)*(AD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F3" s="36">
        <f>100*((((F2)*(AE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0.20533994550961771</v>
      </c>
      <c r="G3" s="36">
        <f>100*((((G2)*(AF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H3" s="36">
        <f>100*((((H2)*(AG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I3" s="36">
        <f>100*((((I2)*(AH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J3" s="36">
        <f>100*((((J2)*(AI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K3" s="36">
        <f>100*((((K2)*(AJ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1.6000667006096232</v>
      </c>
      <c r="L3" s="36">
        <f>100*((((L2)*(AK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M3" s="36">
        <f>100*((((M2)*(AL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1.3000541942453192</v>
      </c>
      <c r="N3" s="36">
        <f>100*((((N2)*(AM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0.19000792069739278</v>
      </c>
      <c r="O3" s="36">
        <f>100*((((O2)/(AN2))/(((A2)/(Z2))+((B2)/(AA2))+((C2)/(AB2))+((D2)/(AC2))+((E2)/(AD2))+((F2)/(AE2))+((G2)/(AF2))+((H2)/(AG2))+((I2)/(AH2))+((J2)/(AI2))+((K2)/(AJ2))+((L2)/(AK2))+((M2)/(AL2))+((N2)/(AM2))+((O2)/(AN2))+((P2)/(AO2))+((Q2)/(AP2))+((R2)/(AQ2))+((S2)/(AR2))+((T2)/(AS2))+((U2)/(AT2))+((V2)/(AU2))+((W2)/(AW2))+((X2)/(AW2))+((Y2)/(AX2)))))</f>
        <v>0</v>
      </c>
      <c r="P3" s="36">
        <f>100*((((P2)*(AO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5.2002167769812764E-2</v>
      </c>
      <c r="Q3" s="36">
        <f>100*((((Q2)*(AP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R3" s="36">
        <f>100*((((R2)*(AQ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S3" s="36">
        <f>100*((((S2)*(AR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T3" s="36">
        <f>100*((((T2)*(AS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U3" s="36">
        <f>100*((((U2)*(AT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V3" s="36">
        <f>100*((((V2)*(AU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W3" s="7">
        <f>100*((((W2)*(AV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X3" s="7">
        <f>100*((((X2)*(AW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Y3" s="7">
        <f>100*((((Y2)*(AX2))/(((A2)*(Z2))+((B2)*(AA2))+((C2)*(AB2))+((D2)*(AC2))+((E2)*(AD2))+((F2)*(AE2))+((G2)*(AF2))+((H2)*(AG2))+((I2)*(AH2))+((J2)*(AI2))+((K2)*(AJ2))+((L2)*(AK2))+((M2)*(AL2))+((N2)*(AM2))+((O2)*(AN2))+((P2)*(AO2))+((Q2)*(AP2))+((R2)*(AQ2))+((S2)*(AR2))+((T2)*(AS2))+((U2)*(AT2))+((V2)*(AU2))+((W2)*(AW2))+((X2)*(AW2))+((Y2)*(AX2)))))</f>
        <v>0</v>
      </c>
      <c r="Z3" s="68">
        <v>55.84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50" ht="15.75" x14ac:dyDescent="0.25">
      <c r="A4" s="8"/>
    </row>
    <row r="5" spans="1:50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83</vt:i4>
      </vt:variant>
    </vt:vector>
  </HeadingPairs>
  <TitlesOfParts>
    <vt:vector size="83" baseType="lpstr">
      <vt:lpstr>C_Mn_Si_Al</vt:lpstr>
      <vt:lpstr>1.0898</vt:lpstr>
      <vt:lpstr>TADI-Catpovic6</vt:lpstr>
      <vt:lpstr>Mg_Mn_Si</vt:lpstr>
      <vt:lpstr>1.0330_3</vt:lpstr>
      <vt:lpstr>OK OK</vt:lpstr>
      <vt:lpstr>Tab1EQ 1_1</vt:lpstr>
      <vt:lpstr>Tab1EQ 1_2</vt:lpstr>
      <vt:lpstr>TIG.EQ_At_G_1</vt:lpstr>
      <vt:lpstr>TEOR.EQ_A_G_1</vt:lpstr>
      <vt:lpstr>opt 1</vt:lpstr>
      <vt:lpstr>All OPT</vt:lpstr>
      <vt:lpstr>opt 2</vt:lpstr>
      <vt:lpstr>opt 3</vt:lpstr>
      <vt:lpstr>opt 4</vt:lpstr>
      <vt:lpstr>opt 5</vt:lpstr>
      <vt:lpstr>opt 6</vt:lpstr>
      <vt:lpstr>opt 7</vt:lpstr>
      <vt:lpstr>opt 8</vt:lpstr>
      <vt:lpstr>opt 9</vt:lpstr>
      <vt:lpstr>opt 10</vt:lpstr>
      <vt:lpstr>opt 11</vt:lpstr>
      <vt:lpstr>opt 12</vt:lpstr>
      <vt:lpstr>opt 13</vt:lpstr>
      <vt:lpstr>Tab1EQ opt2_1</vt:lpstr>
      <vt:lpstr>Tab1EQ opt2_2</vt:lpstr>
      <vt:lpstr>TEOR.EQ_A_G_opt2</vt:lpstr>
      <vt:lpstr>TIG.EQ_At_G_opt2</vt:lpstr>
      <vt:lpstr>Tab1EQ 3_1</vt:lpstr>
      <vt:lpstr>Tab1EQ 3_2</vt:lpstr>
      <vt:lpstr>TIG.EQ_At_G_3</vt:lpstr>
      <vt:lpstr>TEOR.EQ_A_G_3</vt:lpstr>
      <vt:lpstr>Tab1EQ 4_1</vt:lpstr>
      <vt:lpstr>Tab1EQ 4_2</vt:lpstr>
      <vt:lpstr>TEOR.EQ_A_G_4</vt:lpstr>
      <vt:lpstr>Tab1EQ 5_1</vt:lpstr>
      <vt:lpstr>Tab1EQ 5_2</vt:lpstr>
      <vt:lpstr>TEOR.EQ_A_G_5</vt:lpstr>
      <vt:lpstr>TIG.EQ_At_G_5</vt:lpstr>
      <vt:lpstr>Tab1EQ 6_1</vt:lpstr>
      <vt:lpstr>Tab1EQ 6_2</vt:lpstr>
      <vt:lpstr>TIG.EQ_At_G_6</vt:lpstr>
      <vt:lpstr>TEOR.EQ_A_G_6</vt:lpstr>
      <vt:lpstr>Tab1EQ 7_1</vt:lpstr>
      <vt:lpstr>Tab1EQ 7_2</vt:lpstr>
      <vt:lpstr>TEOR.EQ_A_G_7</vt:lpstr>
      <vt:lpstr>Tab1EQ 8_1</vt:lpstr>
      <vt:lpstr>Tab1EQ 8_2</vt:lpstr>
      <vt:lpstr>TEOR.EQ_A_G_8</vt:lpstr>
      <vt:lpstr>Tab1EQ 9_1</vt:lpstr>
      <vt:lpstr>Tab1EQ 9_2</vt:lpstr>
      <vt:lpstr>TEOR.EQ_A_G_9</vt:lpstr>
      <vt:lpstr>Tab1EQ 10_1</vt:lpstr>
      <vt:lpstr>Tab1EQ 10_2</vt:lpstr>
      <vt:lpstr>TEOR.EQ_A_G_10</vt:lpstr>
      <vt:lpstr>Tab1EQ 11_1</vt:lpstr>
      <vt:lpstr>Tab1EQ 11_2</vt:lpstr>
      <vt:lpstr>TEOR.EQ_A_G_11</vt:lpstr>
      <vt:lpstr>Tab1EQ 12_1</vt:lpstr>
      <vt:lpstr>Tab1EQ 12_2</vt:lpstr>
      <vt:lpstr>TEOR.EQ_A_G_12</vt:lpstr>
      <vt:lpstr>Tab1EQ 13_1</vt:lpstr>
      <vt:lpstr>Tab1EQ 13_2</vt:lpstr>
      <vt:lpstr>TEOR.EQ_A_G_13</vt:lpstr>
      <vt:lpstr>GJS400_18 EQ 80,63</vt:lpstr>
      <vt:lpstr>GJS400_18 EQ 80,3</vt:lpstr>
      <vt:lpstr>GJS400_18 EQ 79,96</vt:lpstr>
      <vt:lpstr>GJS400_18 EQ 4</vt:lpstr>
      <vt:lpstr>GJS400_18 EQ 5</vt:lpstr>
      <vt:lpstr>GJS400_18 EQ 6</vt:lpstr>
      <vt:lpstr>GJS400_18 EQ 7</vt:lpstr>
      <vt:lpstr>GJS400_18 EQ 8</vt:lpstr>
      <vt:lpstr>GJS400_18 EQ 9</vt:lpstr>
      <vt:lpstr>GJS400_18 EQ 10</vt:lpstr>
      <vt:lpstr>GJS400_18 EQ 11</vt:lpstr>
      <vt:lpstr>GJS400_18 EQ 12</vt:lpstr>
      <vt:lpstr>GJS400_18 EQ 13</vt:lpstr>
      <vt:lpstr>GJS400_18</vt:lpstr>
      <vt:lpstr>ADI EQi (3)</vt:lpstr>
      <vt:lpstr>Tab1 OPT Raszet. s</vt:lpstr>
      <vt:lpstr>OPT.EQIWALENT_A_G (2)</vt:lpstr>
      <vt:lpstr>Tabelle1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Kostyantyn Gzovskyy</dc:creator>
  <cp:lastModifiedBy>kostyantyn.gzovskyy@yahoo.com</cp:lastModifiedBy>
  <dcterms:created xsi:type="dcterms:W3CDTF">2015-06-05T18:19:34Z</dcterms:created>
  <dcterms:modified xsi:type="dcterms:W3CDTF">2024-12-12T08:55:03Z</dcterms:modified>
</cp:coreProperties>
</file>