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00" yWindow="-15" windowWidth="9630" windowHeight="8295" tabRatio="850" firstSheet="3" activeTab="3"/>
  </bookViews>
  <sheets>
    <sheet name="第2章7解答例" sheetId="6" r:id="rId1"/>
    <sheet name="第3章7解答例" sheetId="10" r:id="rId2"/>
    <sheet name="第3章7.ｆ解答例" sheetId="11" r:id="rId3"/>
    <sheet name="第3章7.g解答例" sheetId="12" r:id="rId4"/>
    <sheet name="第3章8解答例" sheetId="14" r:id="rId5"/>
    <sheet name="第4章6解答例" sheetId="21" r:id="rId6"/>
    <sheet name="第6章7解答例" sheetId="24" r:id="rId7"/>
    <sheet name="第6章8解答例" sheetId="26" r:id="rId8"/>
    <sheet name="第7章7解答例" sheetId="32" r:id="rId9"/>
    <sheet name="第7章8解答例" sheetId="33" r:id="rId10"/>
    <sheet name="第8章9解答例" sheetId="37" r:id="rId11"/>
    <sheet name="第9章8解答例" sheetId="42" r:id="rId12"/>
  </sheets>
  <definedNames>
    <definedName name="_ZA100" localSheetId="4">第3章8解答例!$D$6+"bD5"+16389+0.25+0.3+0.35</definedName>
    <definedName name="_ZA101" localSheetId="4">第3章8解答例!$D$11+"fD10"+16389+0.09+"?"+0.11</definedName>
    <definedName name="_ZA102" localSheetId="4">第3章8解答例!$D$12+"eAD11"+16389+0.45+0.02</definedName>
    <definedName name="_ZF100" localSheetId="4">第3章8解答例!$D$39+"External Funding Required"+"$ Thousands"+41+41+4505+243+52+604+661+4+3+"-"+"+"+2.6+50+2+4+95+130.569187732518+5</definedName>
    <definedName name="GVKey">"companies=007435-01"</definedName>
    <definedName name="ListOffset" hidden="1">1</definedName>
    <definedName name="_xlnm.Print_Area" localSheetId="7">第6章8解答例!$A$1:$I$23</definedName>
    <definedName name="Set">" "</definedName>
    <definedName name="SPErrors">"NoErrors"</definedName>
    <definedName name="SPTemplateType">"SingleTicker"</definedName>
    <definedName name="SPWS_WBID">"69975D64-48F2-11D4-9F02-9150DCAB963E"</definedName>
    <definedName name="Ticker">"MW"</definedName>
    <definedName name="ZA0" localSheetId="4">"Crystal Ball Data : Ver. 5.0"</definedName>
    <definedName name="ZA0A" localSheetId="4">3+102</definedName>
    <definedName name="ZA0F" localSheetId="4">1+100</definedName>
    <definedName name="ZA0T" localSheetId="4">3736052+0</definedName>
  </definedNames>
  <calcPr calcId="145621"/>
</workbook>
</file>

<file path=xl/calcChain.xml><?xml version="1.0" encoding="utf-8"?>
<calcChain xmlns="http://schemas.openxmlformats.org/spreadsheetml/2006/main">
  <c r="C38" i="42" l="1"/>
  <c r="D38" i="42"/>
  <c r="E38" i="42"/>
  <c r="F38" i="42"/>
  <c r="G38" i="42"/>
  <c r="C39" i="42"/>
  <c r="D39" i="42"/>
  <c r="E39" i="42"/>
  <c r="F39" i="42"/>
  <c r="G39" i="42"/>
  <c r="G40" i="42" s="1"/>
  <c r="C41" i="42"/>
  <c r="D41" i="42"/>
  <c r="E41" i="42"/>
  <c r="F41" i="42"/>
  <c r="G41" i="42"/>
  <c r="C42" i="42"/>
  <c r="D42" i="42"/>
  <c r="E42" i="42"/>
  <c r="F42" i="42"/>
  <c r="G42" i="42"/>
  <c r="B43" i="42"/>
  <c r="C43" i="42"/>
  <c r="D44" i="42" s="1"/>
  <c r="D43" i="42"/>
  <c r="E43" i="42"/>
  <c r="E44" i="42" s="1"/>
  <c r="F43" i="42"/>
  <c r="G43" i="42"/>
  <c r="G44" i="42" s="1"/>
  <c r="B50" i="42"/>
  <c r="B51" i="42" s="1"/>
  <c r="B55" i="42"/>
  <c r="B63" i="42" s="1"/>
  <c r="B73" i="42" s="1"/>
  <c r="B66" i="42"/>
  <c r="B67" i="42"/>
  <c r="C40" i="42" l="1"/>
  <c r="B68" i="42"/>
  <c r="B69" i="42" s="1"/>
  <c r="F44" i="42"/>
  <c r="D40" i="42"/>
  <c r="E40" i="42"/>
  <c r="F40" i="42"/>
  <c r="F45" i="42"/>
  <c r="E45" i="42"/>
  <c r="G45" i="42"/>
  <c r="B58" i="42" s="1"/>
  <c r="B59" i="42" s="1"/>
  <c r="D45" i="42"/>
  <c r="C44" i="42"/>
  <c r="C45" i="42" s="1"/>
  <c r="B47" i="42" s="1"/>
  <c r="B70" i="42" l="1"/>
  <c r="B72" i="42" s="1"/>
  <c r="B74" i="42" s="1"/>
  <c r="D77" i="42" s="1"/>
  <c r="D79" i="42" s="1"/>
  <c r="B52" i="42"/>
  <c r="B54" i="42" s="1"/>
  <c r="B56" i="42" s="1"/>
  <c r="B77" i="42" s="1"/>
  <c r="B79" i="42" s="1"/>
  <c r="B60" i="42"/>
  <c r="B62" i="42" s="1"/>
  <c r="B64" i="42" s="1"/>
  <c r="C77" i="42" s="1"/>
  <c r="C79" i="42" s="1"/>
  <c r="C18" i="37" l="1"/>
  <c r="E25" i="37" s="1"/>
  <c r="C24" i="37"/>
  <c r="E24" i="37"/>
  <c r="C25" i="37"/>
  <c r="D24" i="37" s="1"/>
  <c r="F24" i="37" l="1"/>
  <c r="D25" i="37"/>
  <c r="F25" i="37" s="1"/>
  <c r="F26" i="37" s="1"/>
  <c r="C29" i="33" l="1"/>
  <c r="C30" i="33" s="1"/>
  <c r="C39" i="33" s="1"/>
  <c r="C36" i="33"/>
  <c r="C37" i="33"/>
  <c r="C38" i="33"/>
  <c r="D43" i="33"/>
  <c r="D45" i="33" s="1"/>
  <c r="D47" i="33" s="1"/>
  <c r="E43" i="33"/>
  <c r="F43" i="33"/>
  <c r="D44" i="33"/>
  <c r="D29" i="33" s="1"/>
  <c r="E44" i="33"/>
  <c r="E29" i="33" s="1"/>
  <c r="F44" i="33"/>
  <c r="F45" i="33" s="1"/>
  <c r="F47" i="33" s="1"/>
  <c r="F49" i="33" s="1"/>
  <c r="D46" i="33"/>
  <c r="E46" i="33"/>
  <c r="F46" i="33"/>
  <c r="D48" i="33"/>
  <c r="D52" i="33" s="1"/>
  <c r="E48" i="33"/>
  <c r="F48" i="33"/>
  <c r="F52" i="33" s="1"/>
  <c r="E52" i="33"/>
  <c r="D49" i="33" l="1"/>
  <c r="C40" i="33"/>
  <c r="C55" i="33" s="1"/>
  <c r="D30" i="33"/>
  <c r="D39" i="33" s="1"/>
  <c r="D40" i="33" s="1"/>
  <c r="F50" i="33"/>
  <c r="F51" i="33" s="1"/>
  <c r="F53" i="33" s="1"/>
  <c r="D50" i="33"/>
  <c r="D51" i="33" s="1"/>
  <c r="D53" i="33" s="1"/>
  <c r="E45" i="33"/>
  <c r="E47" i="33" s="1"/>
  <c r="E49" i="33" s="1"/>
  <c r="E30" i="33"/>
  <c r="E39" i="33" s="1"/>
  <c r="E40" i="33" s="1"/>
  <c r="F30" i="33"/>
  <c r="F39" i="33" s="1"/>
  <c r="F41" i="33" s="1"/>
  <c r="E6" i="32"/>
  <c r="E7" i="32"/>
  <c r="D21" i="32" s="1"/>
  <c r="D22" i="32" s="1"/>
  <c r="D13" i="32"/>
  <c r="C21" i="32"/>
  <c r="C32" i="32"/>
  <c r="F39" i="32" s="1"/>
  <c r="F37" i="32"/>
  <c r="I47" i="32"/>
  <c r="E21" i="32" l="1"/>
  <c r="D55" i="33"/>
  <c r="E50" i="33"/>
  <c r="E51" i="33"/>
  <c r="E53" i="33" s="1"/>
  <c r="E55" i="33" s="1"/>
  <c r="F55" i="33"/>
  <c r="E49" i="32"/>
  <c r="E51" i="32" s="1"/>
  <c r="D23" i="32"/>
  <c r="F41" i="32"/>
  <c r="F42" i="32" s="1"/>
  <c r="F44" i="32" s="1"/>
  <c r="H55" i="32"/>
  <c r="F21" i="32"/>
  <c r="G21" i="32" s="1"/>
  <c r="C22" i="32" s="1"/>
  <c r="C59" i="33" l="1"/>
  <c r="C58" i="33"/>
  <c r="C57" i="33"/>
  <c r="E22" i="32"/>
  <c r="F22" i="32" s="1"/>
  <c r="G22" i="32" s="1"/>
  <c r="C23" i="32" s="1"/>
  <c r="I55" i="32"/>
  <c r="E57" i="32"/>
  <c r="F59" i="32" s="1"/>
  <c r="D24" i="32"/>
  <c r="E23" i="32" l="1"/>
  <c r="F23" i="32" s="1"/>
  <c r="G23" i="32" s="1"/>
  <c r="C24" i="32" s="1"/>
  <c r="D25" i="32"/>
  <c r="B13" i="26"/>
  <c r="C13" i="26"/>
  <c r="D13" i="26"/>
  <c r="D15" i="26" s="1"/>
  <c r="D16" i="26" s="1"/>
  <c r="E13" i="26"/>
  <c r="F13" i="26"/>
  <c r="G13" i="26"/>
  <c r="B14" i="26"/>
  <c r="B15" i="26" s="1"/>
  <c r="B16" i="26" s="1"/>
  <c r="C14" i="26"/>
  <c r="C15" i="26" s="1"/>
  <c r="C16" i="26" s="1"/>
  <c r="D14" i="26"/>
  <c r="E14" i="26"/>
  <c r="F14" i="26"/>
  <c r="G14" i="26"/>
  <c r="G15" i="26" s="1"/>
  <c r="G16" i="26" s="1"/>
  <c r="F15" i="26"/>
  <c r="F16" i="26" s="1"/>
  <c r="B13" i="24"/>
  <c r="C13" i="24"/>
  <c r="D13" i="24"/>
  <c r="E13" i="24"/>
  <c r="F13" i="24"/>
  <c r="B14" i="24"/>
  <c r="C14" i="24"/>
  <c r="D14" i="24"/>
  <c r="E14" i="24"/>
  <c r="F14" i="24"/>
  <c r="B15" i="24"/>
  <c r="C15" i="24"/>
  <c r="D15" i="24"/>
  <c r="E15" i="24"/>
  <c r="B16" i="24"/>
  <c r="C16" i="24"/>
  <c r="D16" i="24"/>
  <c r="E16" i="24"/>
  <c r="F16" i="24"/>
  <c r="B18" i="24"/>
  <c r="C18" i="24"/>
  <c r="D18" i="24"/>
  <c r="E18" i="24"/>
  <c r="F18" i="24"/>
  <c r="B61" i="24"/>
  <c r="B12" i="24" s="1"/>
  <c r="C61" i="24"/>
  <c r="C12" i="24" s="1"/>
  <c r="D61" i="24"/>
  <c r="D12" i="24" s="1"/>
  <c r="E61" i="24"/>
  <c r="E12" i="24" s="1"/>
  <c r="F61" i="24"/>
  <c r="F12" i="24" s="1"/>
  <c r="D5" i="21"/>
  <c r="E5" i="21"/>
  <c r="F5" i="21"/>
  <c r="G5" i="21"/>
  <c r="H5" i="21"/>
  <c r="D7" i="21"/>
  <c r="E7" i="21"/>
  <c r="F7" i="21"/>
  <c r="G7" i="21"/>
  <c r="H7" i="21"/>
  <c r="D8" i="21"/>
  <c r="E8" i="21"/>
  <c r="F8" i="21"/>
  <c r="G8" i="21"/>
  <c r="H8" i="21"/>
  <c r="D10" i="21"/>
  <c r="E10" i="21"/>
  <c r="F10" i="21"/>
  <c r="G10" i="21"/>
  <c r="H10" i="21"/>
  <c r="E15" i="26" l="1"/>
  <c r="E16" i="26" s="1"/>
  <c r="E9" i="21"/>
  <c r="E11" i="21" s="1"/>
  <c r="G9" i="21"/>
  <c r="G11" i="21" s="1"/>
  <c r="H9" i="21"/>
  <c r="H11" i="21" s="1"/>
  <c r="D9" i="21"/>
  <c r="D11" i="21" s="1"/>
  <c r="F9" i="21"/>
  <c r="F11" i="21" s="1"/>
  <c r="E24" i="32"/>
  <c r="F24" i="32" s="1"/>
  <c r="G24" i="32"/>
  <c r="C25" i="32" s="1"/>
  <c r="D26" i="32"/>
  <c r="E25" i="32" l="1"/>
  <c r="F25" i="32" s="1"/>
  <c r="G25" i="32" s="1"/>
  <c r="C26" i="32" s="1"/>
  <c r="C20" i="14"/>
  <c r="D20" i="14" s="1"/>
  <c r="C31" i="14"/>
  <c r="C33" i="14" s="1"/>
  <c r="C32" i="14"/>
  <c r="D32" i="14"/>
  <c r="C34" i="14"/>
  <c r="C35" i="14"/>
  <c r="D35" i="14"/>
  <c r="E26" i="32" l="1"/>
  <c r="F26" i="32" s="1"/>
  <c r="G26" i="32" s="1"/>
  <c r="D31" i="14"/>
  <c r="D33" i="14" s="1"/>
  <c r="D21" i="14"/>
  <c r="D22" i="14" s="1"/>
  <c r="D23" i="14"/>
  <c r="D34" i="14"/>
  <c r="C22" i="14"/>
  <c r="C21" i="14"/>
  <c r="C23" i="14"/>
  <c r="D7" i="12"/>
  <c r="E7" i="12" s="1"/>
  <c r="D8" i="12"/>
  <c r="D10" i="12" s="1"/>
  <c r="D13" i="12" s="1"/>
  <c r="D16" i="12" s="1"/>
  <c r="D11" i="12"/>
  <c r="D14" i="12"/>
  <c r="D27" i="12"/>
  <c r="D28" i="12"/>
  <c r="D29" i="12"/>
  <c r="D30" i="12"/>
  <c r="E30" i="12"/>
  <c r="F30" i="12"/>
  <c r="G30" i="12"/>
  <c r="H30" i="12"/>
  <c r="D31" i="12"/>
  <c r="D32" i="12"/>
  <c r="D34" i="12"/>
  <c r="D35" i="12"/>
  <c r="E35" i="12"/>
  <c r="F35" i="12"/>
  <c r="G35" i="12"/>
  <c r="H35" i="12"/>
  <c r="D36" i="12"/>
  <c r="D37" i="12"/>
  <c r="D40" i="12"/>
  <c r="D41" i="12"/>
  <c r="D42" i="12"/>
  <c r="E42" i="12"/>
  <c r="F42" i="12"/>
  <c r="G42" i="12"/>
  <c r="H42" i="12"/>
  <c r="D43" i="12"/>
  <c r="D46" i="12"/>
  <c r="D50" i="12"/>
  <c r="E50" i="12"/>
  <c r="F50" i="12"/>
  <c r="G50" i="12"/>
  <c r="H50" i="12"/>
  <c r="D51" i="12"/>
  <c r="E51" i="12"/>
  <c r="F51" i="12"/>
  <c r="G51" i="12"/>
  <c r="H51" i="12"/>
  <c r="D53" i="12"/>
  <c r="E53" i="12"/>
  <c r="F53" i="12"/>
  <c r="G53" i="12"/>
  <c r="H53" i="12"/>
  <c r="D7" i="11"/>
  <c r="E7" i="11" s="1"/>
  <c r="D30" i="11"/>
  <c r="E30" i="11"/>
  <c r="F30" i="11"/>
  <c r="G30" i="11"/>
  <c r="H30" i="11"/>
  <c r="D31" i="11"/>
  <c r="D34" i="11"/>
  <c r="D35" i="11"/>
  <c r="E35" i="11"/>
  <c r="F35" i="11"/>
  <c r="G35" i="11"/>
  <c r="H35" i="11"/>
  <c r="D36" i="11"/>
  <c r="D40" i="11"/>
  <c r="D43" i="11" s="1"/>
  <c r="D41" i="11"/>
  <c r="D42" i="11"/>
  <c r="E42" i="11"/>
  <c r="F42" i="11"/>
  <c r="G42" i="11"/>
  <c r="H42" i="11"/>
  <c r="D46" i="11"/>
  <c r="D50" i="11"/>
  <c r="E50" i="11"/>
  <c r="F50" i="11"/>
  <c r="G50" i="11"/>
  <c r="H50" i="11"/>
  <c r="D51" i="11"/>
  <c r="E51" i="11"/>
  <c r="F51" i="11"/>
  <c r="G51" i="11"/>
  <c r="H51" i="11"/>
  <c r="D53" i="11"/>
  <c r="E53" i="11"/>
  <c r="F53" i="11"/>
  <c r="G53" i="11"/>
  <c r="H53" i="11"/>
  <c r="D17" i="10"/>
  <c r="E18" i="10" s="1"/>
  <c r="E20" i="10" s="1"/>
  <c r="E17" i="10"/>
  <c r="E24" i="10" s="1"/>
  <c r="F17" i="10"/>
  <c r="G17" i="10"/>
  <c r="G18" i="10" s="1"/>
  <c r="G20" i="10" s="1"/>
  <c r="F18" i="10"/>
  <c r="F20" i="10" s="1"/>
  <c r="F23" i="10" s="1"/>
  <c r="F26" i="10" s="1"/>
  <c r="F21" i="10"/>
  <c r="G21" i="10"/>
  <c r="F24" i="10"/>
  <c r="G24" i="10"/>
  <c r="D27" i="10"/>
  <c r="F37" i="10"/>
  <c r="F42" i="10" s="1"/>
  <c r="F47" i="10" s="1"/>
  <c r="F38" i="10"/>
  <c r="F39" i="10"/>
  <c r="D40" i="10"/>
  <c r="E40" i="10" s="1"/>
  <c r="F40" i="10"/>
  <c r="G40" i="10"/>
  <c r="F41" i="10"/>
  <c r="F44" i="10"/>
  <c r="G44" i="10"/>
  <c r="D45" i="10"/>
  <c r="E45" i="10"/>
  <c r="F45" i="10"/>
  <c r="G45" i="10"/>
  <c r="E46" i="10"/>
  <c r="F46" i="10"/>
  <c r="G46" i="10"/>
  <c r="F50" i="10"/>
  <c r="G50" i="10"/>
  <c r="F51" i="10"/>
  <c r="G51" i="10"/>
  <c r="G53" i="10" s="1"/>
  <c r="D52" i="10"/>
  <c r="E52" i="10"/>
  <c r="F52" i="10"/>
  <c r="G52" i="10"/>
  <c r="F53" i="10"/>
  <c r="D55" i="10"/>
  <c r="F56" i="10"/>
  <c r="G56" i="10"/>
  <c r="D60" i="10"/>
  <c r="E60" i="10"/>
  <c r="F60" i="10"/>
  <c r="G60" i="10"/>
  <c r="D61" i="10"/>
  <c r="E61" i="10"/>
  <c r="F61" i="10"/>
  <c r="G61" i="10"/>
  <c r="D63" i="10"/>
  <c r="E63" i="10" s="1"/>
  <c r="F63" i="10"/>
  <c r="G63" i="10"/>
  <c r="E41" i="10" l="1"/>
  <c r="E38" i="10"/>
  <c r="E39" i="10"/>
  <c r="D37" i="10"/>
  <c r="G23" i="10"/>
  <c r="G26" i="10" s="1"/>
  <c r="D28" i="11"/>
  <c r="D56" i="10"/>
  <c r="E51" i="10"/>
  <c r="E50" i="10"/>
  <c r="E53" i="10" s="1"/>
  <c r="D46" i="10"/>
  <c r="D44" i="10"/>
  <c r="G41" i="10"/>
  <c r="G39" i="10"/>
  <c r="G38" i="10"/>
  <c r="G37" i="10"/>
  <c r="D21" i="10"/>
  <c r="E23" i="10"/>
  <c r="E26" i="10" s="1"/>
  <c r="D51" i="10"/>
  <c r="D50" i="10"/>
  <c r="D24" i="10"/>
  <c r="D18" i="10"/>
  <c r="D20" i="10" s="1"/>
  <c r="D23" i="10" s="1"/>
  <c r="D26" i="10" s="1"/>
  <c r="D29" i="10" s="1"/>
  <c r="E56" i="10"/>
  <c r="E44" i="10"/>
  <c r="D41" i="10"/>
  <c r="D39" i="10"/>
  <c r="D38" i="10"/>
  <c r="E21" i="10"/>
  <c r="E11" i="12"/>
  <c r="E27" i="12" s="1"/>
  <c r="E31" i="12"/>
  <c r="E36" i="12"/>
  <c r="E28" i="12"/>
  <c r="F7" i="12"/>
  <c r="E8" i="12"/>
  <c r="E10" i="12" s="1"/>
  <c r="E13" i="12" s="1"/>
  <c r="E16" i="12" s="1"/>
  <c r="E14" i="12"/>
  <c r="E29" i="12"/>
  <c r="E34" i="12"/>
  <c r="E40" i="12"/>
  <c r="E41" i="12"/>
  <c r="E46" i="12"/>
  <c r="E11" i="11"/>
  <c r="E27" i="11" s="1"/>
  <c r="E31" i="11"/>
  <c r="E36" i="11"/>
  <c r="E28" i="11"/>
  <c r="F7" i="11"/>
  <c r="E8" i="11"/>
  <c r="E10" i="11" s="1"/>
  <c r="E14" i="11"/>
  <c r="E29" i="11"/>
  <c r="E34" i="11"/>
  <c r="E40" i="11"/>
  <c r="E43" i="11" s="1"/>
  <c r="E41" i="11"/>
  <c r="E46" i="11"/>
  <c r="D11" i="11"/>
  <c r="D27" i="11" s="1"/>
  <c r="D32" i="11" s="1"/>
  <c r="D37" i="11" s="1"/>
  <c r="D29" i="11"/>
  <c r="D14" i="11"/>
  <c r="D8" i="11"/>
  <c r="D10" i="11" s="1"/>
  <c r="E13" i="11" l="1"/>
  <c r="E16" i="11" s="1"/>
  <c r="D42" i="10"/>
  <c r="D47" i="10" s="1"/>
  <c r="D30" i="10"/>
  <c r="D32" i="10" s="1"/>
  <c r="D62" i="10" s="1"/>
  <c r="D65" i="10" s="1"/>
  <c r="D67" i="10" s="1"/>
  <c r="D53" i="10"/>
  <c r="D57" i="10" s="1"/>
  <c r="G42" i="10"/>
  <c r="G47" i="10" s="1"/>
  <c r="E43" i="12"/>
  <c r="F41" i="12"/>
  <c r="F46" i="12"/>
  <c r="F11" i="12"/>
  <c r="F27" i="12" s="1"/>
  <c r="F31" i="12"/>
  <c r="F36" i="12"/>
  <c r="F28" i="12"/>
  <c r="G7" i="12"/>
  <c r="F8" i="12"/>
  <c r="F10" i="12" s="1"/>
  <c r="F13" i="12" s="1"/>
  <c r="F16" i="12" s="1"/>
  <c r="F14" i="12"/>
  <c r="F29" i="12"/>
  <c r="F34" i="12"/>
  <c r="F40" i="12"/>
  <c r="F43" i="12" s="1"/>
  <c r="E32" i="12"/>
  <c r="E37" i="12" s="1"/>
  <c r="D13" i="11"/>
  <c r="D16" i="11" s="1"/>
  <c r="F41" i="11"/>
  <c r="F46" i="11"/>
  <c r="F11" i="11"/>
  <c r="F27" i="11" s="1"/>
  <c r="F32" i="11" s="1"/>
  <c r="F31" i="11"/>
  <c r="F36" i="11"/>
  <c r="F28" i="11"/>
  <c r="G7" i="11"/>
  <c r="F8" i="11"/>
  <c r="F10" i="11" s="1"/>
  <c r="F14" i="11"/>
  <c r="F29" i="11"/>
  <c r="F34" i="11"/>
  <c r="F40" i="11"/>
  <c r="E32" i="11"/>
  <c r="E37" i="11" s="1"/>
  <c r="F13" i="11" l="1"/>
  <c r="F16" i="11" s="1"/>
  <c r="D69" i="10"/>
  <c r="E37" i="10" s="1"/>
  <c r="E42" i="10" s="1"/>
  <c r="E47" i="10" s="1"/>
  <c r="F32" i="12"/>
  <c r="F37" i="12" s="1"/>
  <c r="H7" i="12"/>
  <c r="G8" i="12"/>
  <c r="G10" i="12" s="1"/>
  <c r="G14" i="12"/>
  <c r="G29" i="12"/>
  <c r="G34" i="12"/>
  <c r="G40" i="12"/>
  <c r="G41" i="12"/>
  <c r="G46" i="12"/>
  <c r="G11" i="12"/>
  <c r="G27" i="12" s="1"/>
  <c r="G32" i="12" s="1"/>
  <c r="G31" i="12"/>
  <c r="G36" i="12"/>
  <c r="G28" i="12"/>
  <c r="H7" i="11"/>
  <c r="G8" i="11"/>
  <c r="G10" i="11" s="1"/>
  <c r="G14" i="11"/>
  <c r="G29" i="11"/>
  <c r="G34" i="11"/>
  <c r="G40" i="11"/>
  <c r="G41" i="11"/>
  <c r="G46" i="11"/>
  <c r="G11" i="11"/>
  <c r="G27" i="11" s="1"/>
  <c r="G32" i="11" s="1"/>
  <c r="G31" i="11"/>
  <c r="G36" i="11"/>
  <c r="G28" i="11"/>
  <c r="F37" i="11"/>
  <c r="F43" i="11"/>
  <c r="G37" i="12" l="1"/>
  <c r="G37" i="11"/>
  <c r="G43" i="11"/>
  <c r="G13" i="11"/>
  <c r="G16" i="11" s="1"/>
  <c r="G43" i="12"/>
  <c r="G13" i="12"/>
  <c r="G16" i="12" s="1"/>
  <c r="H28" i="12"/>
  <c r="H8" i="12"/>
  <c r="H10" i="12" s="1"/>
  <c r="H13" i="12" s="1"/>
  <c r="H16" i="12" s="1"/>
  <c r="H14" i="12"/>
  <c r="H29" i="12"/>
  <c r="H34" i="12"/>
  <c r="H40" i="12"/>
  <c r="H41" i="12"/>
  <c r="H46" i="12"/>
  <c r="H11" i="12"/>
  <c r="H27" i="12" s="1"/>
  <c r="H31" i="12"/>
  <c r="H36" i="12"/>
  <c r="H28" i="11"/>
  <c r="H8" i="11"/>
  <c r="H10" i="11" s="1"/>
  <c r="H13" i="11" s="1"/>
  <c r="H16" i="11" s="1"/>
  <c r="H14" i="11"/>
  <c r="H29" i="11"/>
  <c r="H34" i="11"/>
  <c r="H40" i="11"/>
  <c r="H41" i="11"/>
  <c r="H46" i="11"/>
  <c r="H11" i="11"/>
  <c r="H27" i="11" s="1"/>
  <c r="H31" i="11"/>
  <c r="H36" i="11"/>
  <c r="H43" i="12" l="1"/>
  <c r="H32" i="11"/>
  <c r="H37" i="11" s="1"/>
  <c r="H32" i="12"/>
  <c r="H37" i="12" s="1"/>
  <c r="H43" i="11"/>
  <c r="C11" i="6" l="1"/>
  <c r="D11" i="6"/>
  <c r="E11" i="6"/>
  <c r="F11" i="6"/>
  <c r="G11" i="6"/>
  <c r="D12" i="6"/>
  <c r="E12" i="6"/>
  <c r="F12" i="6"/>
  <c r="G12" i="6"/>
  <c r="H22" i="12"/>
  <c r="H20" i="12"/>
  <c r="G57" i="11"/>
  <c r="H57" i="11"/>
  <c r="G20" i="12"/>
  <c r="G22" i="12"/>
  <c r="F30" i="10"/>
  <c r="F20" i="11"/>
  <c r="F22" i="11"/>
  <c r="D20" i="11"/>
  <c r="H57" i="12"/>
  <c r="D47" i="12"/>
  <c r="E57" i="10"/>
  <c r="F57" i="12"/>
  <c r="F47" i="11"/>
  <c r="F57" i="10"/>
  <c r="E67" i="10"/>
  <c r="E22" i="12"/>
  <c r="E20" i="12"/>
  <c r="D26" i="14"/>
  <c r="G67" i="10"/>
  <c r="E47" i="11"/>
  <c r="D57" i="11"/>
  <c r="E47" i="12"/>
  <c r="F45" i="11"/>
  <c r="F57" i="11"/>
  <c r="E30" i="10"/>
  <c r="E19" i="12"/>
  <c r="G47" i="12"/>
  <c r="E45" i="11"/>
  <c r="E57" i="11"/>
  <c r="D20" i="12"/>
  <c r="E45" i="12"/>
  <c r="E57" i="12"/>
  <c r="E55" i="12"/>
  <c r="E17" i="12"/>
  <c r="G57" i="10"/>
  <c r="G30" i="10"/>
  <c r="G22" i="11"/>
  <c r="G17" i="11"/>
  <c r="G19" i="11"/>
  <c r="G20" i="11"/>
  <c r="H45" i="11"/>
  <c r="H47" i="11"/>
  <c r="D57" i="12"/>
  <c r="D45" i="12"/>
  <c r="F67" i="10"/>
  <c r="C26" i="14"/>
  <c r="H45" i="12"/>
  <c r="H47" i="12"/>
  <c r="G45" i="12"/>
  <c r="G57" i="12"/>
  <c r="D45" i="11"/>
  <c r="D47" i="11"/>
  <c r="D29" i="14"/>
  <c r="D25" i="14"/>
  <c r="D27" i="14"/>
  <c r="D28" i="14"/>
  <c r="H20" i="11"/>
  <c r="H55" i="11"/>
  <c r="H17" i="11"/>
  <c r="H19" i="11"/>
  <c r="H22" i="11"/>
  <c r="F55" i="11"/>
  <c r="F17" i="11"/>
  <c r="F19" i="11"/>
  <c r="D24" i="14"/>
  <c r="E20" i="11"/>
  <c r="E22" i="11"/>
  <c r="H17" i="12"/>
  <c r="H19" i="12"/>
  <c r="G45" i="11"/>
  <c r="G47" i="11"/>
  <c r="G55" i="11"/>
  <c r="F52" i="11"/>
  <c r="G52" i="11"/>
  <c r="H52" i="11"/>
  <c r="F22" i="12"/>
  <c r="F17" i="12"/>
  <c r="F19" i="12"/>
  <c r="F20" i="12"/>
  <c r="F55" i="10"/>
  <c r="F27" i="10"/>
  <c r="F29" i="10"/>
  <c r="F32" i="10"/>
  <c r="F62" i="10"/>
  <c r="F65" i="10"/>
  <c r="E32" i="10"/>
  <c r="E62" i="10"/>
  <c r="E65" i="10"/>
  <c r="E55" i="10"/>
  <c r="E27" i="10"/>
  <c r="E29" i="10"/>
  <c r="C28" i="14"/>
  <c r="D36" i="14"/>
  <c r="D37" i="14"/>
  <c r="D39" i="14"/>
  <c r="G32" i="10"/>
  <c r="G62" i="10"/>
  <c r="G65" i="10"/>
  <c r="G55" i="10"/>
  <c r="G27" i="10"/>
  <c r="G29" i="10"/>
  <c r="H52" i="12"/>
  <c r="H55" i="12"/>
  <c r="G52" i="12"/>
  <c r="G55" i="12"/>
  <c r="G17" i="12"/>
  <c r="G19" i="12"/>
  <c r="D55" i="11"/>
  <c r="D17" i="11"/>
  <c r="D19" i="11"/>
  <c r="D22" i="11"/>
  <c r="D52" i="11"/>
  <c r="E52" i="11"/>
  <c r="E55" i="11"/>
  <c r="E17" i="11"/>
  <c r="E19" i="11"/>
  <c r="C25" i="14"/>
  <c r="C27" i="14"/>
  <c r="C29" i="14"/>
  <c r="C36" i="14"/>
  <c r="C37" i="14"/>
  <c r="C39" i="14"/>
  <c r="C24" i="14"/>
  <c r="D55" i="12"/>
  <c r="D17" i="12"/>
  <c r="D19" i="12"/>
  <c r="D22" i="12"/>
  <c r="D52" i="12"/>
  <c r="E52" i="12"/>
  <c r="F52" i="12"/>
  <c r="F55" i="12"/>
  <c r="F45" i="12"/>
  <c r="F47" i="12"/>
</calcChain>
</file>

<file path=xl/sharedStrings.xml><?xml version="1.0" encoding="utf-8"?>
<sst xmlns="http://schemas.openxmlformats.org/spreadsheetml/2006/main" count="626" uniqueCount="385">
  <si>
    <t>Inventories</t>
  </si>
  <si>
    <t>Accumulated depreciation</t>
  </si>
  <si>
    <t>Common Stock</t>
  </si>
  <si>
    <t>Retained Earnings</t>
  </si>
  <si>
    <t>Net income</t>
  </si>
  <si>
    <t>Dividends paid</t>
  </si>
  <si>
    <t>Additions to retained earnings</t>
  </si>
  <si>
    <t>Add back depreciation</t>
  </si>
  <si>
    <t>Sales</t>
  </si>
  <si>
    <t>a.</t>
  </si>
  <si>
    <t>b.</t>
  </si>
  <si>
    <t>Asset turnover</t>
  </si>
  <si>
    <t>Total Income Taxes</t>
  </si>
  <si>
    <t>Pretax Income</t>
  </si>
  <si>
    <t>Non-Operating Income/Expense</t>
  </si>
  <si>
    <t>Interest Expense</t>
  </si>
  <si>
    <t>Operating Profit</t>
  </si>
  <si>
    <t>Operating Income Before Deprec.</t>
  </si>
  <si>
    <t>Selling, General, &amp; Administrative Exp.</t>
  </si>
  <si>
    <t>Gross Profit</t>
  </si>
  <si>
    <t>Cost of Goods Sold</t>
  </si>
  <si>
    <t>ANNUAL INCOME STATEMENT</t>
  </si>
  <si>
    <t>TOTAL LIABILITIES &amp; EQUITY</t>
  </si>
  <si>
    <t>TOTAL EQUITY</t>
  </si>
  <si>
    <t>Less: Treasury Stock</t>
  </si>
  <si>
    <t>Capital Surplus</t>
  </si>
  <si>
    <t>EQUITY</t>
  </si>
  <si>
    <t>TOTAL LIABILITIES</t>
  </si>
  <si>
    <t>Other Liabilities</t>
  </si>
  <si>
    <t>Deferred Taxes</t>
  </si>
  <si>
    <t>Long Term Debt</t>
  </si>
  <si>
    <t>Total Current Liabilities</t>
  </si>
  <si>
    <t>Other Current Liabilities</t>
  </si>
  <si>
    <t>Accrued Expenses</t>
  </si>
  <si>
    <t>Taxes Payable</t>
  </si>
  <si>
    <t>Accounts Payable</t>
  </si>
  <si>
    <t>Long Term Debt Due In One Year</t>
  </si>
  <si>
    <t>LIABILITIES</t>
  </si>
  <si>
    <t>TOTAL ASSETS</t>
  </si>
  <si>
    <t>Other Assets</t>
  </si>
  <si>
    <t>Intangibles</t>
  </si>
  <si>
    <t>Net Plant, Property &amp; Equipment</t>
  </si>
  <si>
    <t>Accumulated Depreciation</t>
  </si>
  <si>
    <t>Gross Plant, Property &amp; Equipment</t>
  </si>
  <si>
    <t>Total Current Assets</t>
  </si>
  <si>
    <t>Other Current Assets</t>
  </si>
  <si>
    <t>Prepaid Expenses</t>
  </si>
  <si>
    <t>Net Receivables</t>
  </si>
  <si>
    <t>ASSETS</t>
  </si>
  <si>
    <t>ANNUAL BALANCE SHEET</t>
  </si>
  <si>
    <t>that it has a large order backlog, its leverage ratios should improve in coming years.</t>
  </si>
  <si>
    <t>the company is at the end of a very expensive development effort on the 787 and</t>
  </si>
  <si>
    <t>Boeing's coverage ratios, however, appear much more reasonable.  Given that</t>
  </si>
  <si>
    <t>ratios look awful.  In 2008 equity is actually negative.</t>
  </si>
  <si>
    <t>notion of debt and a cash flow perspective on debt.  Boeing's balance sheet leverage</t>
  </si>
  <si>
    <t>This problem illustrates the sharp differences that can exist between a balance sheet</t>
  </si>
  <si>
    <t>Comments</t>
  </si>
  <si>
    <t>c.</t>
  </si>
  <si>
    <t>equals Total income taxes/pretax income.</t>
  </si>
  <si>
    <t>*** Principal payments in year t equal "Long-term debt due in one year" in year t-1.  The tax rate</t>
  </si>
  <si>
    <t>can fall to $D, or in percentage terms to (N-D)/N, or 1-1/(N/D).</t>
  </si>
  <si>
    <t>** Consider the ratio N/D.  What percentage decline in N causes the ratio to equal 1?  N</t>
  </si>
  <si>
    <t>N.A.</t>
  </si>
  <si>
    <t>Interest &amp; principal payments***</t>
  </si>
  <si>
    <t>Interest payments*</t>
  </si>
  <si>
    <t>before failing to cover:**</t>
  </si>
  <si>
    <t>Percentage decline in earnings before interest and taxes</t>
  </si>
  <si>
    <t xml:space="preserve">*EBIT = Operating profit </t>
  </si>
  <si>
    <t>Times burden covered</t>
  </si>
  <si>
    <t>Times interest earned*</t>
  </si>
  <si>
    <t>Total liabilities/equity</t>
  </si>
  <si>
    <t>Dec05</t>
  </si>
  <si>
    <t>Dec06</t>
  </si>
  <si>
    <t>Dec07</t>
  </si>
  <si>
    <t>Dec08</t>
  </si>
  <si>
    <t>Dec09</t>
  </si>
  <si>
    <t>Ratios</t>
  </si>
  <si>
    <t>Boeing Company</t>
  </si>
  <si>
    <t>Minority Interest</t>
  </si>
  <si>
    <t>EXTERNAL FUNDING REQUIRED</t>
  </si>
  <si>
    <t>Total liabilities and shareholders' equity</t>
  </si>
  <si>
    <t>Equity</t>
  </si>
  <si>
    <t>Long-term debt</t>
  </si>
  <si>
    <t>Current liabilities</t>
  </si>
  <si>
    <t>Total assets</t>
  </si>
  <si>
    <t>Net fixed assets</t>
  </si>
  <si>
    <t>Current assets</t>
  </si>
  <si>
    <t>BALANCE SHEET</t>
  </si>
  <si>
    <t>Earnings after tax</t>
  </si>
  <si>
    <t>Tax</t>
  </si>
  <si>
    <t>Earnings before tax</t>
  </si>
  <si>
    <t>Interest expense</t>
  </si>
  <si>
    <t>Gen., sell,, and admin. exp.</t>
  </si>
  <si>
    <t>Gross profit</t>
  </si>
  <si>
    <t>Cost of good sold</t>
  </si>
  <si>
    <t>Net sales</t>
  </si>
  <si>
    <t>Year</t>
  </si>
  <si>
    <t>INCOME STATEMENT</t>
  </si>
  <si>
    <t>Owners' equity</t>
  </si>
  <si>
    <t>Current liabilities/net sales</t>
  </si>
  <si>
    <t>Current assets/net sales</t>
  </si>
  <si>
    <t>Dividend/earnings after tax</t>
  </si>
  <si>
    <t>Tax rate</t>
  </si>
  <si>
    <t>Interest rate</t>
  </si>
  <si>
    <t>Current portion long-term debt</t>
  </si>
  <si>
    <t>Gen., sell,, and admin. expenses/net sales</t>
  </si>
  <si>
    <t>Cost of goods sold/net sales</t>
  </si>
  <si>
    <t>Growth rate in sales</t>
  </si>
  <si>
    <t>Facts and Assumptions</t>
  </si>
  <si>
    <t>no change</t>
  </si>
  <si>
    <t>no dividends paid so all income is retained</t>
  </si>
  <si>
    <t>Total Liabilities</t>
  </si>
  <si>
    <t>Accrued wages</t>
  </si>
  <si>
    <t>initially constant</t>
  </si>
  <si>
    <t>Account Receivable</t>
  </si>
  <si>
    <t>Cash &amp; Equivalents</t>
  </si>
  <si>
    <t>Balance Sheet (in $ millions)</t>
  </si>
  <si>
    <t>Assumptions</t>
  </si>
  <si>
    <t>Income Statement (in $ millions)</t>
  </si>
  <si>
    <t>Aquatic Supplies Co.</t>
  </si>
  <si>
    <t>Need for external financing</t>
  </si>
  <si>
    <t>Depreciation, Depletion, &amp; Amortization</t>
  </si>
  <si>
    <t>Calculations for solutions to parts a, b,d, and e.</t>
  </si>
  <si>
    <t>g.  In this scenario, the indicated worksheet reveals that cash and equivalents will be $18.771 million and long-term debt will be $256.300 million, a substantial increase over the “base case” debt observed in part (f).</t>
  </si>
  <si>
    <t xml:space="preserve">e.  Under this scenario the loan need falls $28.733 million from $186.363 million to $157.630 million.  </t>
  </si>
  <si>
    <t>d.  Comparing Long-term debt in parts (b) and (d) below, the loan need rises $8.453 million ($194.816 - $186.363) as sales rise to 17%.</t>
  </si>
  <si>
    <t>c. The increase in the loan need calculated in part (a) was $27.209 million.  The comparable number in part (b) was $28.643 million.  They differ because the loan need in part (b) includes the interdependence between the loan and interest expense.  Note that although interest expense rises $2,206,000 in part (b), the tax-deductibility of interest results in an increased loan need of only $1,434,000 [= $2,206,000*(1 - 0.35)], or 5.3%.</t>
  </si>
  <si>
    <t>b.  When the interdependency between long-term debt and interest expense is included, interest expense increases from $16.430 million to $18.636 million and the need for new financing rises from $27.209 million to $28.643 million ($28.643 = $186.363 - $157.720), or $1,434,000.  (Note it is necessary to use “manual calculation” in this spreadsheet.)</t>
  </si>
  <si>
    <t>Calculations appear below on this worksheet and on following sheets.</t>
  </si>
  <si>
    <t>Solution to part f.</t>
  </si>
  <si>
    <t>Solution to part g.</t>
  </si>
  <si>
    <t>Shareholders' equity</t>
  </si>
  <si>
    <t xml:space="preserve">  Total current liabilities</t>
  </si>
  <si>
    <t>Accounts payable</t>
  </si>
  <si>
    <t xml:space="preserve">  Total assets</t>
  </si>
  <si>
    <t xml:space="preserve">  Total current assets</t>
  </si>
  <si>
    <t>Inventory</t>
  </si>
  <si>
    <t>Accounts receivable</t>
  </si>
  <si>
    <t>b).  Each simulation will, of course be slightly different.  This one indicates R&amp;E's treasurer should be prepared to raise at least</t>
  </si>
  <si>
    <t>a). Results of Simulation:</t>
  </si>
  <si>
    <t>is generating more cash than needed in the business and should develop a plan to productively deploy the extra cash.</t>
  </si>
  <si>
    <t xml:space="preserve"> Meanwhile, debt levels are not projected to increase appreciably; hence, the company's leverage measures are decreasing.  The company</t>
  </si>
  <si>
    <t xml:space="preserve">for the forecast period.  A mildly improving profit margin, together with complete retention of earnings, has increased equity over the period.  </t>
  </si>
  <si>
    <t>Aquatic Supplies' projected actual growth rate is well below its sustainable growth rate, although the latter is trending toward the former</t>
  </si>
  <si>
    <t>b. Interpretation</t>
  </si>
  <si>
    <t>Sustainable - actual growth rate</t>
  </si>
  <si>
    <t>Actual growth rate</t>
  </si>
  <si>
    <t>Sustainable growth rate</t>
  </si>
  <si>
    <t>Financial leverage</t>
  </si>
  <si>
    <t>Retention ratio</t>
  </si>
  <si>
    <t>Profit margin</t>
  </si>
  <si>
    <t>a.  Sustainable Growth Anlysis</t>
  </si>
  <si>
    <t>Suggested Answers</t>
  </si>
  <si>
    <t>Common Equity</t>
  </si>
  <si>
    <t xml:space="preserve">Preferred Stock </t>
  </si>
  <si>
    <t>Deferred Charges</t>
  </si>
  <si>
    <t>Other Investments</t>
  </si>
  <si>
    <t>Investments at Equity</t>
  </si>
  <si>
    <t>Net Income</t>
  </si>
  <si>
    <t>Depreciation</t>
  </si>
  <si>
    <t>($ MILLIONS, EXCEPT PER SHARE)</t>
  </si>
  <si>
    <t>HCA INC</t>
  </si>
  <si>
    <t>g.  Please comment on HCA's capital structure.  Is its 2009 debt level prudent?  Is it smart to add another $1.53 billion to this total?  Why, or why not?</t>
  </si>
  <si>
    <t xml:space="preserve">f.  In late 2010 HCA announced an intended dividend recapitalization in which it would pay a $2 billion dividend to shareholders financed in large part by a $1.53 billion bond offering.  At an interest rate of 6 percent, how would the added debt have affected HCA's times-interest-earned ratio in 2009?  </t>
  </si>
  <si>
    <t>d.  Calculate HCA's return on invested capital (ROIC) in the years 2005 - 2009.</t>
  </si>
  <si>
    <t>c.  How volatile have HCA's cash flows been over the period 2005 - 2009?</t>
  </si>
  <si>
    <t xml:space="preserve">b.  What percentage decline in EBIT could HCA have suffered each year between 2005 and 2009 before the      company would have been unable to make interest payments out of operating earnings, where operating earnings is defined as EBIT?  </t>
  </si>
  <si>
    <t>a.  What were HCA's liabilities-to-assets ratios and times-interest-earned ratios in the years 2005 through 2009?</t>
  </si>
  <si>
    <t>g.  By conventional balance sheet standards, HCA's debt load is outrageously high.  Liabilities exceed assets by a wide margin every year.  Yet by cash flow standards, debt looks much more reasonable.  Interest coverage is greater than 1 every year, although the coverage ratio in 2008 of 1.58 is modest compared to a cross-section of US firms.  Looking at the stability of HCA's cash flows in recent years provides additional comfort.  The largest year to year decline was 12 percent in the face of a very large recession, a figure that is less than 1/3rd the EBIT decline the company could suffer while still maintaining an interest coverage of 1.0.  My assessment that HCA would suffer only modest costs of financial distress adds further to a belief HCA's current capital structure is not overly aggressive.  I am also impressed by the ROIC's consistently above 10 percent.  HCA is a money machine.  Finally, the addition of another $1.53 billion to the debt pile at 6 percent interest has a quite modest effect on the coverage ratios and does not change my overall conclusion that while aggressive HCA's capital structure is not unreasonable.</t>
  </si>
  <si>
    <t>f`. Times interest earned after new debt</t>
  </si>
  <si>
    <t>e.  Health care facilities should not be especially susceptible to the business cycle.  Some health care is discretionary but much is not.  The company's product is not a durable good, so concerns about parts and maintenance are not relevant.  Health care facilities are often require a certificate of need from the state, meaning predatory competition should be modest risk.  Doctors do not hold stock options in the hospitals were they practice, so distress problems should not affect doctors willingness to use a facility, and health care is relatively price inelastic, so price wars should be only a remote possibility.  On balance, I would expect HCA to face only modest potential financial distress costs.</t>
  </si>
  <si>
    <t>d.  ROIC</t>
  </si>
  <si>
    <t>c.  Annual % change in EBIT</t>
  </si>
  <si>
    <t>b.  Percent EBIT can fall</t>
  </si>
  <si>
    <t xml:space="preserve">  (EBIT = Pretax income+ Interest expense)</t>
  </si>
  <si>
    <t xml:space="preserve">    Times interest earned</t>
  </si>
  <si>
    <t>a.  Liabilities/assets</t>
  </si>
  <si>
    <t>e.  HCA is the largest private operator of health care facilities in the world with one hundred of facilities in over 20 states.  In 2006, private equity buyers took the company private in a $31.6 billion acquisition.  In broad terms how costly do you think financial distress would be to HCA if it began to appear the company might be having difficulty servicing its debt?  Why?</t>
  </si>
  <si>
    <t>Questions:</t>
  </si>
  <si>
    <t>Aquatic Supplies</t>
  </si>
  <si>
    <t>Suggested Answer to Ch. 3 Problem 13 (f)</t>
  </si>
  <si>
    <t xml:space="preserve">     speculative, or junk, category  However, a complete answer to this question requires review of all of the factors described in the Higgins 5 Factors Model.  </t>
  </si>
  <si>
    <r>
      <t>d.</t>
    </r>
    <r>
      <rPr>
        <sz val="10"/>
        <rFont val="Times New Roman"/>
        <family val="1"/>
      </rPr>
      <t xml:space="preserve"> With a coverage ratio of 3.60, significantly increasing financial leverage would be  aggressive, putting the company’s debt into the </t>
    </r>
  </si>
  <si>
    <r>
      <t>c.</t>
    </r>
    <r>
      <rPr>
        <sz val="10"/>
        <rFont val="Times New Roman"/>
        <family val="1"/>
      </rPr>
      <t xml:space="preserve"> According to Table 6-5 in the text, an interest coverage of 3.6 times would earn a weak BBB rating if the rating were based solely on the firm's coverage ratio..  </t>
    </r>
  </si>
  <si>
    <t xml:space="preserve"> % EBIT can fall (answer to b.)</t>
  </si>
  <si>
    <t xml:space="preserve"> Times interest earned </t>
  </si>
  <si>
    <t xml:space="preserve"> Interest expense </t>
  </si>
  <si>
    <t xml:space="preserve"> EBIT (aka, operating profit) </t>
  </si>
  <si>
    <t xml:space="preserve"> ($ millions) </t>
  </si>
  <si>
    <t>a. and b.</t>
  </si>
  <si>
    <t>Actual</t>
  </si>
  <si>
    <r>
      <t>d</t>
    </r>
    <r>
      <rPr>
        <sz val="10"/>
        <rFont val="Times New Roman"/>
        <family val="1"/>
      </rPr>
      <t>.  Based on this rating, would a significant increase in financial leverage be a prudent strategy for Aquatic Supplies?</t>
    </r>
  </si>
  <si>
    <r>
      <t>b</t>
    </r>
    <r>
      <rPr>
        <sz val="10"/>
        <rFont val="Times New Roman"/>
        <family val="1"/>
      </rPr>
      <t xml:space="preserve">. Calculate the percentage EBIT can fall before interest coverage dips below 1.0 for each year in the forecast. </t>
    </r>
  </si>
  <si>
    <t>Internal rate of return</t>
  </si>
  <si>
    <t>EBIT</t>
  </si>
  <si>
    <t>e.  Suppose after 15 years the borrower has the opportunity to refinance the remaining principal on the mortgage with a new 15-year mortgage carrying an interest rate of  7 1/8%.  Refinancing will involve $250 in costs and "points" equal to 1.5 percent of the amount borrowed.  If the borrower plans to live in the house for 15 more years, does it make economic sense to refinance?  Does your answer change if the borrower only intends to live in the house for 5 more years and will pay off any loans outstanding at that time?  You may ignore taxes and may assume there are no prepayment penalties on either mortgage.</t>
  </si>
  <si>
    <t xml:space="preserve">d.  After paying on this mortgage for 15 years, what will be the remaining principal outstanding?  </t>
  </si>
  <si>
    <t>Date</t>
  </si>
  <si>
    <t>Outstanding Balance End of Month</t>
  </si>
  <si>
    <t>Principal payment</t>
  </si>
  <si>
    <t>Interest due</t>
  </si>
  <si>
    <t>Monthly payment</t>
  </si>
  <si>
    <t>Outstanding Balance Beginning of Month</t>
  </si>
  <si>
    <t>c.  The borrower's payment book will look something like the following.  Complete the entries for the first 6 months.</t>
  </si>
  <si>
    <t>Consider a $100,000, 30 year, fixed-rate, 9 percent, home mortgage requiring monthly payments.</t>
  </si>
  <si>
    <t>Salvage value</t>
  </si>
  <si>
    <t>Expected life</t>
  </si>
  <si>
    <t>*The company must pay a 40% tax on the difference between the selling price and the asset's book value at time of sale.</t>
  </si>
  <si>
    <t>Minimum required rate of return</t>
  </si>
  <si>
    <t>Working capital required, as a % of production costs</t>
  </si>
  <si>
    <t>Immediate advertising expenses for launch (To be expensed for tax purposes at tme 0)</t>
  </si>
  <si>
    <t xml:space="preserve">Current annual overhead costs </t>
  </si>
  <si>
    <t xml:space="preserve">     and administrative costs</t>
  </si>
  <si>
    <t>Incremental annual selling</t>
  </si>
  <si>
    <t>Incremental annual production costs</t>
  </si>
  <si>
    <t>Selling price of new equipment in 3 years*</t>
  </si>
  <si>
    <t>Straight-line over 5 years to 0 salvage value</t>
  </si>
  <si>
    <t>Depreciation method</t>
  </si>
  <si>
    <t>5 yrs</t>
  </si>
  <si>
    <t>Licensing rights to use images (To be expensed for tax purposes at time 0)</t>
  </si>
  <si>
    <t>Initial cost of new equipment</t>
  </si>
  <si>
    <t>Marketing Research Costs, to date</t>
  </si>
  <si>
    <t>($ in thousands)</t>
  </si>
  <si>
    <t>Comparing total costs, option 2 is still $4,272.53 cheaper, the advantage to refinancing is much less.</t>
  </si>
  <si>
    <r>
      <t xml:space="preserve">Hence, the total cost of option 2 is $36,182.77 + $43,147.46 + $250 in costs + $1,189.95 in points, or </t>
    </r>
    <r>
      <rPr>
        <b/>
        <sz val="11"/>
        <rFont val="Times New Roman"/>
        <family val="1"/>
      </rPr>
      <t>$80,770.18</t>
    </r>
    <r>
      <rPr>
        <sz val="11"/>
        <rFont val="Times New Roman"/>
        <family val="1"/>
      </rPr>
      <t>.  (Note that this is the same number calculated above assuming the owner intended to remain in the house for 15 years.)  The cost of the loan is the same regardless of the time the owner intends to remain in the house.</t>
    </r>
  </si>
  <si>
    <t>PV(.07125/12, 5*12, 0, $61,548.57) =</t>
  </si>
  <si>
    <t>The present value of this liability discounted at 7 1/8 percent over 5 years equals $43,147.46.</t>
  </si>
  <si>
    <t>PV(.07125/12, 10*12, 718.60) =</t>
  </si>
  <si>
    <t>At the end of 60 months the principal value on the loan equals the present value at 7 1/8 percent interest of the remaining 120 payments, which equals $61,548.17</t>
  </si>
  <si>
    <t>Present Value:</t>
  </si>
  <si>
    <t>Payment:</t>
  </si>
  <si>
    <r>
      <t>Option 2</t>
    </r>
    <r>
      <rPr>
        <sz val="11"/>
        <rFont val="Times New Roman"/>
        <family val="1"/>
      </rPr>
      <t>:  Refinance.  Pay $718.60 for 60 months.  Present value = $36,182.77.</t>
    </r>
  </si>
  <si>
    <r>
      <t xml:space="preserve">Hence, the total cost of this option equals </t>
    </r>
    <r>
      <rPr>
        <b/>
        <sz val="11"/>
        <rFont val="Times New Roman"/>
        <family val="1"/>
      </rPr>
      <t>$85,042.71</t>
    </r>
    <r>
      <rPr>
        <sz val="11"/>
        <rFont val="Times New Roman"/>
        <family val="1"/>
      </rPr>
      <t xml:space="preserve"> ($40,514.14 + $44,528.57)</t>
    </r>
  </si>
  <si>
    <t>-PV(71/8/12, 5*12, 0, $63,518.27) =</t>
  </si>
  <si>
    <t>The present value of this liability discounted at 7 1/8 percent over 5 years equals $44,528.57</t>
  </si>
  <si>
    <t>-PV(9%/12, 10*12, $804.62) =</t>
  </si>
  <si>
    <t xml:space="preserve">At the end of 60 months the principal value still to be paid on the loan equals the present value at 9 percent interest of the remaining 10 years of payments.  Using the present value of an annuity formula for 120 monthly periods, this amount is $63,518.06.  </t>
  </si>
  <si>
    <r>
      <t>Option 1</t>
    </r>
    <r>
      <rPr>
        <sz val="11"/>
        <rFont val="Times New Roman"/>
        <family val="1"/>
      </rPr>
      <t xml:space="preserve">: Keep the existing mortgage.  Pay $804.62 for 60 months.  Present value at 7 1/8% = </t>
    </r>
  </si>
  <si>
    <t>If homeowner plans to stay only 5 more years:</t>
  </si>
  <si>
    <t>There is over a $8,000 benefit to refinancing.</t>
  </si>
  <si>
    <t>Total cost</t>
  </si>
  <si>
    <t>Points</t>
  </si>
  <si>
    <t>Fees</t>
  </si>
  <si>
    <t>Amount to be refinanced</t>
  </si>
  <si>
    <r>
      <t>Option 2</t>
    </r>
    <r>
      <rPr>
        <sz val="11"/>
        <rFont val="Times New Roman"/>
        <family val="1"/>
      </rPr>
      <t xml:space="preserve">:  Refinance. </t>
    </r>
  </si>
  <si>
    <t>PV(7.125%/12,15*12,804.62,0) =</t>
  </si>
  <si>
    <r>
      <t>Option 1</t>
    </r>
    <r>
      <rPr>
        <sz val="11"/>
        <rFont val="Times New Roman"/>
        <family val="1"/>
      </rPr>
      <t xml:space="preserve">: Keep the exisiting mortgage.  At an opportunity cost of 7 1/8%, the remaining payments on the current loan have a present value of </t>
    </r>
  </si>
  <si>
    <t>=-PV(9%/12, 15*12, 804.62, 0)</t>
  </si>
  <si>
    <t>Using Excel:</t>
  </si>
  <si>
    <t xml:space="preserve">The remaining principal due equals the present value of the remaining payments. </t>
  </si>
  <si>
    <t>In Excel the monthly loan payment can be calculated using the PMT financial function (Formulas &gt; Financial &gt;  PMT).  The entry is =PMT(.09/12, 12*30, 100000,0).  The monthly interest rate is .09/12, and the number of periods is 12*30, or 360.  The monthly payment is $804.62</t>
  </si>
  <si>
    <r>
      <t>EAR = (1+r/m)</t>
    </r>
    <r>
      <rPr>
        <vertAlign val="superscript"/>
        <sz val="11"/>
        <color theme="1"/>
        <rFont val="ＭＳ Ｐゴシック"/>
        <family val="2"/>
        <scheme val="minor"/>
      </rPr>
      <t>m</t>
    </r>
    <r>
      <rPr>
        <sz val="10"/>
        <rFont val="Arial"/>
        <family val="2"/>
      </rPr>
      <t xml:space="preserve"> - 1 = </t>
    </r>
  </si>
  <si>
    <t>b.  What is the annual effective interest rate on the mortgage?</t>
  </si>
  <si>
    <t>APR = m(r/m) = 9 percent.</t>
  </si>
  <si>
    <t>a.  The monthly interest rate on the mortgage is 9%/12 months = .75%.  What is the annual nominal interest rate on the mortgage?</t>
  </si>
  <si>
    <t>per month</t>
  </si>
  <si>
    <t>per annum</t>
  </si>
  <si>
    <t>Rate:</t>
  </si>
  <si>
    <t>months</t>
  </si>
  <si>
    <t>years</t>
  </si>
  <si>
    <t>Term:</t>
  </si>
  <si>
    <t>Principal:</t>
  </si>
  <si>
    <t>Data:</t>
  </si>
  <si>
    <t>Benefit-cost ratio</t>
  </si>
  <si>
    <t>million</t>
  </si>
  <si>
    <t>Net Present Value 10%</t>
  </si>
  <si>
    <t>Free Cash Flow</t>
  </si>
  <si>
    <t>After-tax cash flow</t>
  </si>
  <si>
    <t>Tax at 40%</t>
  </si>
  <si>
    <t>Operating Income</t>
  </si>
  <si>
    <t>Selling and administrative expenses</t>
  </si>
  <si>
    <t>Cost of sales</t>
  </si>
  <si>
    <t>Total salvage value</t>
  </si>
  <si>
    <t>Total costs</t>
  </si>
  <si>
    <t>Subtract increases in net working capital</t>
  </si>
  <si>
    <t>Immediate advertising expenses after taxes</t>
  </si>
  <si>
    <t>Initial cost of licensing rights after taxes</t>
  </si>
  <si>
    <t>Plant and equipment</t>
  </si>
  <si>
    <t>Using the information above, the cash flows from this project appear in the table below:</t>
  </si>
  <si>
    <t>Change in NWC</t>
  </si>
  <si>
    <t>NWC</t>
  </si>
  <si>
    <t>End of Year</t>
  </si>
  <si>
    <t xml:space="preserve">   Change in Net Working Capital Table:</t>
  </si>
  <si>
    <t>Working capital of (.075)*(200,000)=15,000 must be invested immediately.  Working capital levels do not change until liquidation of the business at the end of the third year, when the investment is recouped in full.</t>
  </si>
  <si>
    <t>Straight-line depreciation of the equipment over five years = $300,000 / 5 = $60,000 per year.  The sale of the equipment at the end of the 3rd year involves a profit equal to the selling price minus the book value (130,000 - 120,000, where book value = 300,000 - 3*60,000). This profit is taxed at 40%, meaning the company pays $4,000 on sale, leaving a net cash receipt of $126,000.</t>
  </si>
  <si>
    <t xml:space="preserve">The current overhead is not incremental (it is incurred even without the project). </t>
  </si>
  <si>
    <t xml:space="preserve">The marketing research costs are sunk and therefore not incremental. </t>
  </si>
  <si>
    <t>Assumptions and calculations:</t>
  </si>
  <si>
    <t xml:space="preserve">Incremental annual sales </t>
  </si>
  <si>
    <t>Given Data:</t>
  </si>
  <si>
    <t>Book value of interest-bearing debt</t>
  </si>
  <si>
    <t>Book value of equity</t>
  </si>
  <si>
    <t xml:space="preserve">Number of shares outstanding </t>
  </si>
  <si>
    <t>Stock price per share</t>
  </si>
  <si>
    <t>Estimated company equity beta</t>
  </si>
  <si>
    <t>Coupon rate on company long-term bonds</t>
  </si>
  <si>
    <t>Yield to maturity on company long-term bonds</t>
  </si>
  <si>
    <t>Yield to maturity on long-term government bonds</t>
  </si>
  <si>
    <t>Cost of Capital =</t>
  </si>
  <si>
    <t>Debt</t>
  </si>
  <si>
    <t>Weighted Cost</t>
  </si>
  <si>
    <t>Cost after tax</t>
  </si>
  <si>
    <t>Percentage of Total</t>
  </si>
  <si>
    <t>Amount ($ millions)</t>
  </si>
  <si>
    <t>Source</t>
  </si>
  <si>
    <t>Calculation of Kroger's Cost of Capital</t>
  </si>
  <si>
    <r>
      <t>K</t>
    </r>
    <r>
      <rPr>
        <vertAlign val="subscript"/>
        <sz val="14"/>
        <rFont val="Times New Roman"/>
        <family val="1"/>
      </rPr>
      <t>E</t>
    </r>
    <r>
      <rPr>
        <sz val="14"/>
        <rFont val="Times New Roman"/>
        <family val="1"/>
      </rPr>
      <t xml:space="preserve"> = </t>
    </r>
  </si>
  <si>
    <r>
      <t>K</t>
    </r>
    <r>
      <rPr>
        <vertAlign val="subscript"/>
        <sz val="14"/>
        <rFont val="Times New Roman"/>
        <family val="1"/>
      </rPr>
      <t>E</t>
    </r>
    <r>
      <rPr>
        <sz val="14"/>
        <rFont val="Times New Roman"/>
        <family val="1"/>
      </rPr>
      <t xml:space="preserve"> = gov't borrowing rate + equity beta*market risk premium</t>
    </r>
  </si>
  <si>
    <t>Market price of risk, or excess return</t>
  </si>
  <si>
    <t>j.  Which of the three estimated maximum acquisition prices in question (i) above do you think is least reliable?</t>
  </si>
  <si>
    <t>i.  Assuming Fractal has 60 million shares outstanding,  what maximum acquisition price per share is consistent with each of the three estimated  values of equity determined in (d), (f) and (h)?</t>
  </si>
  <si>
    <t>h.  Based on your answer to (g) above,  what is the maximum acquisition price Integrated should pay to acquire Fractal's equity?</t>
  </si>
  <si>
    <t>f.  Based on your answer to (e) above,  what is the maximum acquisition price Integrated should pay to acquire Fractal's equity?</t>
  </si>
  <si>
    <t>d.  Based on your answer to (c) above,  what is the maximum acquisition price Integrated should pay to acquire Fractal's equity?</t>
  </si>
  <si>
    <t xml:space="preserve">b. Estimate the present value of Fractal's free cash flow for the years 2012 - 2016.  Integrated's WACC is 8.0 percent.  Fractal's WACC is 11.5 percent, and the average of the two companies' WACCs, weighted by sales, is 8.2 percent.  </t>
  </si>
  <si>
    <t xml:space="preserve">  Total liabilities and equity</t>
  </si>
  <si>
    <t>Deferred taxes</t>
  </si>
  <si>
    <t>Accrued expenses</t>
  </si>
  <si>
    <t>Short-term debt</t>
  </si>
  <si>
    <t>Goodwill</t>
  </si>
  <si>
    <t xml:space="preserve">  Net property and equipment</t>
  </si>
  <si>
    <t>Gross property and equipment</t>
  </si>
  <si>
    <t>Other current assets</t>
  </si>
  <si>
    <t>Cash and securities</t>
  </si>
  <si>
    <t>Balance sheet</t>
  </si>
  <si>
    <t xml:space="preserve">  Net income after tax</t>
  </si>
  <si>
    <t>Provision for taxes</t>
  </si>
  <si>
    <t xml:space="preserve">  Net income before tax</t>
  </si>
  <si>
    <t>Operating expenses</t>
  </si>
  <si>
    <t xml:space="preserve">  Gross income</t>
  </si>
  <si>
    <t>Income statement</t>
  </si>
  <si>
    <t>($ millions)</t>
  </si>
  <si>
    <t>5-year Financial Projection</t>
  </si>
  <si>
    <t>Fractal Antenna Systems, Inc.</t>
  </si>
  <si>
    <t>Estimated value per share</t>
  </si>
  <si>
    <t>Number of shares outstanding</t>
  </si>
  <si>
    <t>Estimated value of equity</t>
  </si>
  <si>
    <t>(h)</t>
  </si>
  <si>
    <t>(f)</t>
  </si>
  <si>
    <t>(d)</t>
  </si>
  <si>
    <t>Existing interest-bearing debt</t>
  </si>
  <si>
    <t>Estimated firm value</t>
  </si>
  <si>
    <t>Present value of terminal value at 11.5%</t>
  </si>
  <si>
    <t>The fundamental principle is that the discount rate should reflect the risks of the cash flows discounted.  Here, the cash flows are Fractal's, so Fractal's WACC is the appropriate discount rate.  Some argue incorrectly that because Fractal will disappear in the merger, the cash flows will become Integrated's, so Integrated's WACC is the appropriate discount rate.  However, the relevant criterion is the risk of the cash flows, not who owns them or what we call them.</t>
  </si>
  <si>
    <t>Free cash flow</t>
  </si>
  <si>
    <t>Change in working capital</t>
  </si>
  <si>
    <t>Working capital</t>
  </si>
  <si>
    <t>Capital expenditures</t>
  </si>
  <si>
    <t>EBIT(1-tax rate)</t>
  </si>
  <si>
    <t>Earnings before interest and taxes</t>
  </si>
  <si>
    <t>Chapter 7 Problem 15 Suggested Answers</t>
  </si>
  <si>
    <t>f.  As shown on the following worksheet, cash and equivalents in 2019 equal $20.541 million and long-term debt equals $184.462 million.</t>
  </si>
  <si>
    <t>Pro Forma Forecasts 2015 - 2019</t>
  </si>
  <si>
    <t>Actual 2014</t>
  </si>
  <si>
    <t>a.  Estimate Fractal's free cash flow from 2015 through 2019.</t>
  </si>
  <si>
    <t>c. Estimate Fractal's value at the end of 2014 assuming it is worth the book value of its assets at the end of 2019.</t>
  </si>
  <si>
    <t>e. Estimate Fractal's value at the end of 2014 assuming in the years after 2019 the company's free cash flow grows 4 percent per year in perpetuity.</t>
  </si>
  <si>
    <t>PV@ 11.5% {FCF, 2015-2019} =</t>
  </si>
  <si>
    <t>Terminal value in 2019</t>
  </si>
  <si>
    <t xml:space="preserve">g. Estimate Fractal's value at the end of 2014 assuming that at year-end 2016 the company's equity is worth 15 times earnings after tax and its debt is worth book value.  </t>
  </si>
  <si>
    <t>Value of equity in 2019</t>
  </si>
  <si>
    <t>Value of debt in 2019</t>
  </si>
  <si>
    <t>Value of firm in 2019</t>
  </si>
  <si>
    <t>Present value of  firm in 2019 at 11.5%</t>
  </si>
  <si>
    <t>The value estimated in part (d) assumes a terminal value for Fractal in 2019 equal to the book value of assets.  Book value of assets is often a serious under-estimate of a company's market value.  Hence, this is my candidate for least reliable estimate.</t>
  </si>
  <si>
    <t>Chapter 2 Problem 7 Suggested Answers</t>
    <phoneticPr fontId="39"/>
  </si>
  <si>
    <t>Chapter 3 Problem 7 Suggested Answers</t>
    <phoneticPr fontId="39"/>
  </si>
  <si>
    <t xml:space="preserve">a.  Aquatic Supplies Company will need an additional $27.209 million in debt to finance its activities for 2012. </t>
    <phoneticPr fontId="39"/>
  </si>
  <si>
    <t>(a) Pro-Forma 2012 ignoring inter-dependencies</t>
    <phoneticPr fontId="39"/>
  </si>
  <si>
    <t>(b) Pro-Forma 2012 including inter-dependencies</t>
    <phoneticPr fontId="39"/>
  </si>
  <si>
    <t>(d) Sensitivity analysis 2012</t>
    <phoneticPr fontId="39"/>
  </si>
  <si>
    <t>(e) Scenario analysis 2012</t>
    <phoneticPr fontId="39"/>
  </si>
  <si>
    <t>Pro Forma Forecasts 2012 - 2016</t>
    <phoneticPr fontId="39"/>
  </si>
  <si>
    <t>Chapter 3 Problem 8 Suggested Answers</t>
    <phoneticPr fontId="39"/>
  </si>
  <si>
    <t>Spreadsheet Answer to Problem 4:</t>
    <phoneticPr fontId="39"/>
  </si>
  <si>
    <r>
      <t xml:space="preserve">     $2.736 million if he wants to be 95 percent certain of having raised enough to meet the company's needs in 201</t>
    </r>
    <r>
      <rPr>
        <sz val="10"/>
        <rFont val="Arial"/>
        <family val="2"/>
      </rPr>
      <t>3</t>
    </r>
    <r>
      <rPr>
        <sz val="10"/>
        <rFont val="Arial"/>
      </rPr>
      <t>.</t>
    </r>
    <phoneticPr fontId="39"/>
  </si>
  <si>
    <t>Chapter 4 Problem 6 Suggested Answers</t>
    <phoneticPr fontId="39"/>
  </si>
  <si>
    <t>Chapter 6 Problem 7 Suggested Answers</t>
    <phoneticPr fontId="39"/>
  </si>
  <si>
    <t>Chapter 6 Problem 8 Suggested Answers</t>
    <phoneticPr fontId="39"/>
  </si>
  <si>
    <t xml:space="preserve">Problem 7, part f. in Chapter 3 asked you to construct a five-year financial projection for Aquatic Supplies beginning in 2012. </t>
    <phoneticPr fontId="39"/>
  </si>
  <si>
    <r>
      <t>a</t>
    </r>
    <r>
      <rPr>
        <sz val="10"/>
        <rFont val="Times New Roman"/>
        <family val="1"/>
      </rPr>
      <t>. Based on your forecast, or the suggested answer to problem 7(f), calculate the company’s annual times-interest-earned ratio over the forecast period.</t>
    </r>
    <phoneticPr fontId="39"/>
  </si>
  <si>
    <r>
      <t>c.</t>
    </r>
    <r>
      <rPr>
        <sz val="10"/>
        <rFont val="Times New Roman"/>
        <family val="1"/>
      </rPr>
      <t xml:space="preserve"> Consulting Table 6-5 in the text what bond rating would Aquatic Supplies have in 2011 if the rating were based solely on the firm’s coverage ratio?</t>
    </r>
    <phoneticPr fontId="39"/>
  </si>
  <si>
    <t>Chapter 7 Problem 7 Suggested Answers</t>
    <phoneticPr fontId="39"/>
  </si>
  <si>
    <t>Chapter 8 Problem 9 Suggested Answers</t>
    <phoneticPr fontId="39"/>
  </si>
  <si>
    <t>Chapter 9 Problem 8 Suggested Answers</t>
    <phoneticPr fontId="39"/>
  </si>
</sst>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176" formatCode="&quot;$&quot;#,##0.00_);[Red]\(&quot;$&quot;#,##0.00\)"/>
    <numFmt numFmtId="177" formatCode="_(&quot;$&quot;* #,##0.00_);_(&quot;$&quot;* \(#,##0.00\);_(&quot;$&quot;* &quot;-&quot;??_);_(@_)"/>
    <numFmt numFmtId="178" formatCode="_(* #,##0.00_);_(* \(#,##0.00\);_(* &quot;-&quot;??_);_(@_)"/>
    <numFmt numFmtId="179" formatCode="#,##0.000_);\(#,##0.000\)"/>
    <numFmt numFmtId="180" formatCode="_(* #,##0.0_);_(* \(#,##0.0\);_(* &quot;-&quot;??_);_(@_)"/>
    <numFmt numFmtId="181" formatCode="0.0%"/>
    <numFmt numFmtId="182" formatCode="#,##0.000_);[Red]\(#,##0.000\)"/>
    <numFmt numFmtId="183" formatCode="_(* #,##0_);_(* \(#,##0\);_(* &quot;-&quot;??_);_(@_)"/>
    <numFmt numFmtId="184" formatCode="_(&quot;$&quot;* #,##0_);_(&quot;$&quot;* \(#,##0\);_(&quot;$&quot;* &quot;-&quot;??_);_(@_)"/>
    <numFmt numFmtId="185" formatCode="_(&quot;$&quot;* #,##0.000_);_(&quot;$&quot;* \(#,##0.000\);_(&quot;$&quot;* &quot;-&quot;??_);_(@_)"/>
    <numFmt numFmtId="186" formatCode="_(* #,##0.000_);_(* \(#,##0.000\);_(* &quot;-&quot;??_);_(@_)"/>
    <numFmt numFmtId="187" formatCode="0.000"/>
    <numFmt numFmtId="188" formatCode="mm\-dd"/>
    <numFmt numFmtId="189" formatCode="_(&quot;$&quot;* #,##0.00_);_(&quot;$&quot;* \(#,##0.00\);_(&quot;$&quot;* &quot;-&quot;???_);_(@_)"/>
    <numFmt numFmtId="190" formatCode="0.000%"/>
  </numFmts>
  <fonts count="40" x14ac:knownFonts="1">
    <font>
      <sz val="10"/>
      <name val="Arial"/>
    </font>
    <font>
      <sz val="11"/>
      <color theme="1"/>
      <name val="ＭＳ Ｐゴシック"/>
      <family val="2"/>
      <scheme val="minor"/>
    </font>
    <font>
      <sz val="11"/>
      <color theme="1"/>
      <name val="ＭＳ Ｐゴシック"/>
      <family val="2"/>
      <scheme val="minor"/>
    </font>
    <font>
      <sz val="12"/>
      <name val="Times New Roman"/>
      <family val="1"/>
    </font>
    <font>
      <sz val="10"/>
      <name val="Times New Roman"/>
      <family val="1"/>
    </font>
    <font>
      <b/>
      <sz val="12"/>
      <name val="Times New Roman"/>
      <family val="1"/>
    </font>
    <font>
      <b/>
      <sz val="10"/>
      <name val="Times New Roman"/>
      <family val="1"/>
    </font>
    <font>
      <b/>
      <i/>
      <sz val="10"/>
      <name val="Times New Roman"/>
      <family val="1"/>
    </font>
    <font>
      <b/>
      <sz val="14"/>
      <name val="Times New Roman"/>
      <family val="1"/>
    </font>
    <font>
      <sz val="10"/>
      <name val="Arial"/>
      <family val="2"/>
    </font>
    <font>
      <b/>
      <u/>
      <sz val="10"/>
      <name val="Times New Roman"/>
      <family val="1"/>
    </font>
    <font>
      <sz val="12"/>
      <name val="Arial"/>
      <family val="2"/>
    </font>
    <font>
      <sz val="10"/>
      <name val="Arial"/>
      <family val="2"/>
    </font>
    <font>
      <b/>
      <sz val="10"/>
      <name val="Arial"/>
      <family val="2"/>
    </font>
    <font>
      <sz val="14"/>
      <name val="Times New Roman"/>
      <family val="1"/>
    </font>
    <font>
      <u val="singleAccounting"/>
      <sz val="10"/>
      <name val="Arial"/>
      <family val="2"/>
    </font>
    <font>
      <b/>
      <i/>
      <sz val="10"/>
      <name val="Arial"/>
      <family val="2"/>
    </font>
    <font>
      <u val="doubleAccounting"/>
      <sz val="10"/>
      <name val="Times New Roman"/>
      <family val="1"/>
    </font>
    <font>
      <i/>
      <sz val="12"/>
      <color indexed="12"/>
      <name val="Times New Roman"/>
      <family val="1"/>
    </font>
    <font>
      <sz val="11"/>
      <color theme="1"/>
      <name val="Times New Roman"/>
      <family val="1"/>
    </font>
    <font>
      <b/>
      <i/>
      <sz val="11"/>
      <color theme="1"/>
      <name val="Times New Roman"/>
      <family val="1"/>
    </font>
    <font>
      <sz val="12"/>
      <color theme="1"/>
      <name val="Times New Roman"/>
      <family val="1"/>
    </font>
    <font>
      <b/>
      <sz val="12"/>
      <color theme="1"/>
      <name val="Times New Roman"/>
      <family val="1"/>
    </font>
    <font>
      <sz val="11"/>
      <name val="Arial"/>
      <family val="2"/>
    </font>
    <font>
      <sz val="11"/>
      <name val="Times New Roman"/>
      <family val="1"/>
    </font>
    <font>
      <b/>
      <i/>
      <sz val="11"/>
      <name val="Times New Roman"/>
      <family val="1"/>
    </font>
    <font>
      <b/>
      <sz val="11"/>
      <name val="Times New Roman"/>
      <family val="1"/>
    </font>
    <font>
      <u val="doubleAccounting"/>
      <sz val="11"/>
      <name val="Times New Roman"/>
      <family val="1"/>
    </font>
    <font>
      <u/>
      <sz val="11"/>
      <name val="Times New Roman"/>
      <family val="1"/>
    </font>
    <font>
      <b/>
      <sz val="11"/>
      <name val="Arial"/>
      <family val="2"/>
    </font>
    <font>
      <vertAlign val="superscript"/>
      <sz val="11"/>
      <color theme="1"/>
      <name val="ＭＳ Ｐゴシック"/>
      <family val="2"/>
      <scheme val="minor"/>
    </font>
    <font>
      <b/>
      <u/>
      <sz val="11"/>
      <name val="Times New Roman"/>
      <family val="1"/>
    </font>
    <font>
      <sz val="14"/>
      <color theme="1"/>
      <name val="ＭＳ Ｐゴシック"/>
      <family val="2"/>
      <scheme val="minor"/>
    </font>
    <font>
      <b/>
      <sz val="14"/>
      <name val="Arial"/>
      <family val="2"/>
    </font>
    <font>
      <vertAlign val="subscript"/>
      <sz val="14"/>
      <name val="Times New Roman"/>
      <family val="1"/>
    </font>
    <font>
      <b/>
      <i/>
      <sz val="14"/>
      <name val="Times New Roman"/>
      <family val="1"/>
    </font>
    <font>
      <b/>
      <i/>
      <sz val="12"/>
      <name val="Times New Roman"/>
      <family val="1"/>
    </font>
    <font>
      <sz val="12"/>
      <color theme="1"/>
      <name val="ＭＳ Ｐゴシック"/>
      <family val="2"/>
      <scheme val="minor"/>
    </font>
    <font>
      <i/>
      <sz val="12"/>
      <name val="Times New Roman"/>
      <family val="1"/>
    </font>
    <font>
      <sz val="6"/>
      <name val="ＭＳ Ｐゴシック"/>
      <family val="3"/>
      <charset val="128"/>
    </font>
  </fonts>
  <fills count="3">
    <fill>
      <patternFill patternType="none"/>
    </fill>
    <fill>
      <patternFill patternType="gray125"/>
    </fill>
    <fill>
      <patternFill patternType="solid">
        <fgColor indexed="11"/>
        <bgColor indexed="9"/>
      </patternFill>
    </fill>
  </fills>
  <borders count="14">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double">
        <color indexed="64"/>
      </bottom>
      <diagonal/>
    </border>
    <border>
      <left/>
      <right/>
      <top/>
      <bottom style="medium">
        <color indexed="64"/>
      </bottom>
      <diagonal/>
    </border>
    <border>
      <left/>
      <right/>
      <top style="medium">
        <color indexed="64"/>
      </top>
      <bottom/>
      <diagonal/>
    </border>
    <border>
      <left/>
      <right style="thin">
        <color indexed="64"/>
      </right>
      <top style="thin">
        <color indexed="64"/>
      </top>
      <bottom/>
      <diagonal/>
    </border>
  </borders>
  <cellStyleXfs count="12">
    <xf numFmtId="0" fontId="0" fillId="0" borderId="0"/>
    <xf numFmtId="178"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178" fontId="12" fillId="0" borderId="0" applyFont="0" applyFill="0" applyBorder="0" applyAlignment="0" applyProtection="0"/>
    <xf numFmtId="177" fontId="9" fillId="0" borderId="0" applyFont="0" applyFill="0" applyBorder="0" applyAlignment="0" applyProtection="0"/>
    <xf numFmtId="0" fontId="2" fillId="0" borderId="0"/>
    <xf numFmtId="177" fontId="2" fillId="0" borderId="0" applyFont="0" applyFill="0" applyBorder="0" applyAlignment="0" applyProtection="0"/>
    <xf numFmtId="178" fontId="2" fillId="0" borderId="0" applyFont="0" applyFill="0" applyBorder="0" applyAlignment="0" applyProtection="0"/>
    <xf numFmtId="9" fontId="2" fillId="0" borderId="0" applyFont="0" applyFill="0" applyBorder="0" applyAlignment="0" applyProtection="0"/>
    <xf numFmtId="177" fontId="12" fillId="0" borderId="0" applyFont="0" applyFill="0" applyBorder="0" applyAlignment="0" applyProtection="0"/>
    <xf numFmtId="0" fontId="1" fillId="0" borderId="0"/>
  </cellStyleXfs>
  <cellXfs count="318">
    <xf numFmtId="0" fontId="0" fillId="0" borderId="0" xfId="0"/>
    <xf numFmtId="0" fontId="4" fillId="0" borderId="0" xfId="0" applyFont="1" applyAlignment="1">
      <alignment horizontal="center"/>
    </xf>
    <xf numFmtId="0" fontId="0" fillId="0" borderId="0" xfId="0" applyBorder="1"/>
    <xf numFmtId="0" fontId="4" fillId="0" borderId="0" xfId="0" applyFont="1"/>
    <xf numFmtId="0" fontId="3" fillId="0" borderId="0" xfId="0" applyFont="1"/>
    <xf numFmtId="0" fontId="3" fillId="0" borderId="0" xfId="0" applyFont="1" applyBorder="1"/>
    <xf numFmtId="179" fontId="4" fillId="0" borderId="0" xfId="0" applyNumberFormat="1" applyFont="1"/>
    <xf numFmtId="0" fontId="8" fillId="0" borderId="0" xfId="0" applyFont="1" applyBorder="1"/>
    <xf numFmtId="179" fontId="4" fillId="0" borderId="0" xfId="0" applyNumberFormat="1" applyFont="1" applyBorder="1"/>
    <xf numFmtId="182" fontId="4" fillId="0" borderId="0" xfId="0" applyNumberFormat="1" applyFont="1" applyBorder="1" applyAlignment="1">
      <alignment horizontal="right"/>
    </xf>
    <xf numFmtId="179" fontId="4" fillId="0" borderId="0" xfId="0" applyNumberFormat="1" applyFont="1" applyAlignment="1">
      <alignment horizontal="center"/>
    </xf>
    <xf numFmtId="0" fontId="11" fillId="0" borderId="0" xfId="0" applyFont="1"/>
    <xf numFmtId="0" fontId="12" fillId="0" borderId="0" xfId="0" applyFont="1"/>
    <xf numFmtId="0" fontId="13" fillId="0" borderId="0" xfId="0" applyFont="1"/>
    <xf numFmtId="0" fontId="13" fillId="0" borderId="0" xfId="0" applyFont="1" applyAlignment="1">
      <alignment horizontal="right"/>
    </xf>
    <xf numFmtId="181" fontId="12" fillId="0" borderId="0" xfId="3" applyNumberFormat="1" applyFont="1"/>
    <xf numFmtId="178" fontId="12" fillId="0" borderId="0" xfId="0" applyNumberFormat="1" applyFont="1" applyAlignment="1">
      <alignment horizontal="right"/>
    </xf>
    <xf numFmtId="178" fontId="11" fillId="0" borderId="0" xfId="0" applyNumberFormat="1" applyFont="1"/>
    <xf numFmtId="180" fontId="12" fillId="0" borderId="0" xfId="4" applyNumberFormat="1" applyFont="1" applyAlignment="1">
      <alignment horizontal="center"/>
    </xf>
    <xf numFmtId="180" fontId="12" fillId="0" borderId="0" xfId="4" applyNumberFormat="1" applyFont="1"/>
    <xf numFmtId="0" fontId="12" fillId="0" borderId="0" xfId="0" applyFont="1" applyAlignment="1">
      <alignment horizontal="left"/>
    </xf>
    <xf numFmtId="179" fontId="10" fillId="0" borderId="0" xfId="0" applyNumberFormat="1" applyFont="1" applyBorder="1" applyAlignment="1">
      <alignment horizontal="center"/>
    </xf>
    <xf numFmtId="9" fontId="4" fillId="0" borderId="0" xfId="3" applyFont="1"/>
    <xf numFmtId="0" fontId="2" fillId="0" borderId="0" xfId="6"/>
    <xf numFmtId="0" fontId="8" fillId="0" borderId="0" xfId="6" applyFont="1" applyAlignment="1"/>
    <xf numFmtId="0" fontId="9" fillId="0" borderId="0" xfId="0" applyFont="1"/>
    <xf numFmtId="186" fontId="9" fillId="0" borderId="0" xfId="1" applyNumberFormat="1" applyFont="1"/>
    <xf numFmtId="178" fontId="9" fillId="0" borderId="0" xfId="0" applyNumberFormat="1" applyFont="1"/>
    <xf numFmtId="187" fontId="9" fillId="0" borderId="0" xfId="0" applyNumberFormat="1" applyFont="1"/>
    <xf numFmtId="185" fontId="6" fillId="0" borderId="0" xfId="5" applyNumberFormat="1" applyFont="1"/>
    <xf numFmtId="0" fontId="6" fillId="0" borderId="0" xfId="0" applyFont="1"/>
    <xf numFmtId="182" fontId="4" fillId="0" borderId="0" xfId="0" applyNumberFormat="1" applyFont="1" applyAlignment="1">
      <alignment horizontal="right"/>
    </xf>
    <xf numFmtId="187" fontId="4" fillId="0" borderId="7" xfId="0" applyNumberFormat="1" applyFont="1" applyBorder="1" applyAlignment="1">
      <alignment horizontal="right"/>
    </xf>
    <xf numFmtId="182" fontId="4" fillId="0" borderId="0" xfId="0" applyNumberFormat="1" applyFont="1" applyAlignment="1">
      <alignment horizontal="center"/>
    </xf>
    <xf numFmtId="185" fontId="17" fillId="0" borderId="0" xfId="5" applyNumberFormat="1" applyFont="1" applyBorder="1" applyAlignment="1">
      <alignment horizontal="right"/>
    </xf>
    <xf numFmtId="187" fontId="4" fillId="0" borderId="0" xfId="0" applyNumberFormat="1" applyFont="1"/>
    <xf numFmtId="187" fontId="4" fillId="0" borderId="9" xfId="0" applyNumberFormat="1" applyFont="1" applyBorder="1" applyAlignment="1">
      <alignment horizontal="right"/>
    </xf>
    <xf numFmtId="187" fontId="4" fillId="0" borderId="0" xfId="0" applyNumberFormat="1" applyFont="1" applyBorder="1" applyAlignment="1">
      <alignment horizontal="right"/>
    </xf>
    <xf numFmtId="186" fontId="4" fillId="0" borderId="0" xfId="1" applyNumberFormat="1" applyFont="1" applyBorder="1" applyAlignment="1">
      <alignment horizontal="right"/>
    </xf>
    <xf numFmtId="186" fontId="4" fillId="0" borderId="0" xfId="1" applyNumberFormat="1" applyFont="1"/>
    <xf numFmtId="0" fontId="4" fillId="0" borderId="0" xfId="0" applyFont="1" applyAlignment="1">
      <alignment horizontal="center" wrapText="1"/>
    </xf>
    <xf numFmtId="186" fontId="9" fillId="0" borderId="0" xfId="1" applyNumberFormat="1" applyFont="1" applyBorder="1"/>
    <xf numFmtId="186" fontId="4" fillId="0" borderId="9" xfId="1" applyNumberFormat="1" applyFont="1" applyBorder="1" applyAlignment="1">
      <alignment horizontal="right"/>
    </xf>
    <xf numFmtId="182" fontId="4" fillId="0" borderId="9" xfId="0" applyNumberFormat="1" applyFont="1" applyBorder="1" applyAlignment="1">
      <alignment horizontal="right"/>
    </xf>
    <xf numFmtId="9" fontId="4" fillId="0" borderId="0" xfId="2" applyFont="1" applyAlignment="1">
      <alignment horizontal="center"/>
    </xf>
    <xf numFmtId="187" fontId="6" fillId="0" borderId="0" xfId="0" applyNumberFormat="1" applyFont="1"/>
    <xf numFmtId="185" fontId="4" fillId="0" borderId="0" xfId="5" applyNumberFormat="1" applyFont="1" applyBorder="1" applyAlignment="1">
      <alignment horizontal="right"/>
    </xf>
    <xf numFmtId="185" fontId="4" fillId="0" borderId="9" xfId="5" applyNumberFormat="1" applyFont="1" applyBorder="1" applyAlignment="1">
      <alignment horizontal="right"/>
    </xf>
    <xf numFmtId="185" fontId="17" fillId="0" borderId="9" xfId="5" applyNumberFormat="1" applyFont="1" applyBorder="1" applyAlignment="1">
      <alignment horizontal="right"/>
    </xf>
    <xf numFmtId="9" fontId="4" fillId="0" borderId="0" xfId="0" applyNumberFormat="1" applyFont="1" applyAlignment="1">
      <alignment horizontal="center"/>
    </xf>
    <xf numFmtId="0" fontId="7" fillId="0" borderId="0" xfId="1" applyNumberFormat="1" applyFont="1" applyBorder="1" applyAlignment="1">
      <alignment horizontal="center"/>
    </xf>
    <xf numFmtId="0" fontId="4" fillId="0" borderId="0" xfId="0" applyFont="1" applyBorder="1"/>
    <xf numFmtId="179" fontId="13" fillId="0" borderId="0" xfId="0" applyNumberFormat="1" applyFont="1"/>
    <xf numFmtId="185" fontId="4" fillId="0" borderId="10" xfId="5" applyNumberFormat="1" applyFont="1" applyBorder="1" applyAlignment="1">
      <alignment horizontal="right"/>
    </xf>
    <xf numFmtId="186" fontId="4" fillId="0" borderId="1" xfId="1" applyNumberFormat="1" applyFont="1" applyBorder="1"/>
    <xf numFmtId="182" fontId="4" fillId="0" borderId="1" xfId="0" applyNumberFormat="1" applyFont="1" applyBorder="1" applyAlignment="1">
      <alignment horizontal="right"/>
    </xf>
    <xf numFmtId="186" fontId="4" fillId="0" borderId="0" xfId="1" applyNumberFormat="1" applyFont="1" applyBorder="1"/>
    <xf numFmtId="0" fontId="6" fillId="0" borderId="0" xfId="0" applyFont="1" applyAlignment="1">
      <alignment horizontal="center" wrapText="1"/>
    </xf>
    <xf numFmtId="0" fontId="6" fillId="0" borderId="0" xfId="0" applyFont="1" applyAlignment="1">
      <alignment horizontal="center"/>
    </xf>
    <xf numFmtId="0" fontId="7" fillId="0" borderId="1" xfId="1" applyNumberFormat="1" applyFont="1" applyBorder="1" applyAlignment="1">
      <alignment horizontal="center"/>
    </xf>
    <xf numFmtId="178" fontId="4" fillId="0" borderId="0" xfId="0" applyNumberFormat="1" applyFont="1"/>
    <xf numFmtId="0" fontId="5" fillId="0" borderId="1" xfId="0" applyFont="1" applyBorder="1" applyAlignment="1">
      <alignment horizontal="left"/>
    </xf>
    <xf numFmtId="0" fontId="18" fillId="0" borderId="0" xfId="0" applyFont="1" applyBorder="1" applyAlignment="1">
      <alignment horizontal="center"/>
    </xf>
    <xf numFmtId="0" fontId="3" fillId="0" borderId="0" xfId="0" applyFont="1" applyBorder="1" applyAlignment="1">
      <alignment horizontal="left"/>
    </xf>
    <xf numFmtId="9" fontId="4" fillId="0" borderId="0" xfId="2" applyFont="1"/>
    <xf numFmtId="181" fontId="4" fillId="0" borderId="0" xfId="2" applyNumberFormat="1" applyFont="1" applyBorder="1"/>
    <xf numFmtId="186" fontId="4" fillId="0" borderId="0" xfId="0" applyNumberFormat="1" applyFont="1" applyBorder="1"/>
    <xf numFmtId="186" fontId="4" fillId="0" borderId="0" xfId="0" applyNumberFormat="1" applyFont="1" applyBorder="1" applyAlignment="1">
      <alignment horizontal="right"/>
    </xf>
    <xf numFmtId="0" fontId="7" fillId="0" borderId="0" xfId="1" applyNumberFormat="1" applyFont="1" applyBorder="1" applyAlignment="1">
      <alignment horizontal="right" wrapText="1"/>
    </xf>
    <xf numFmtId="0" fontId="6" fillId="0" borderId="0" xfId="0" applyFont="1" applyBorder="1" applyAlignment="1"/>
    <xf numFmtId="0" fontId="6" fillId="0" borderId="0" xfId="0" applyFont="1" applyBorder="1" applyAlignment="1">
      <alignment horizontal="left" indent="2"/>
    </xf>
    <xf numFmtId="186" fontId="6" fillId="0" borderId="0" xfId="1" applyNumberFormat="1" applyFont="1" applyBorder="1"/>
    <xf numFmtId="186" fontId="6" fillId="0" borderId="0" xfId="1" applyNumberFormat="1" applyFont="1"/>
    <xf numFmtId="186" fontId="4" fillId="0" borderId="0" xfId="1" applyNumberFormat="1" applyFont="1" applyAlignment="1">
      <alignment horizontal="right"/>
    </xf>
    <xf numFmtId="185" fontId="4" fillId="0" borderId="7" xfId="5" applyNumberFormat="1" applyFont="1" applyBorder="1" applyAlignment="1">
      <alignment horizontal="right"/>
    </xf>
    <xf numFmtId="186" fontId="4" fillId="0" borderId="0" xfId="1" applyNumberFormat="1" applyFont="1" applyAlignment="1">
      <alignment horizontal="center"/>
    </xf>
    <xf numFmtId="186" fontId="6" fillId="0" borderId="0" xfId="1" applyNumberFormat="1" applyFont="1" applyBorder="1" applyAlignment="1">
      <alignment horizontal="right" wrapText="1"/>
    </xf>
    <xf numFmtId="0" fontId="6" fillId="0" borderId="0" xfId="1" applyNumberFormat="1" applyFont="1" applyBorder="1" applyAlignment="1">
      <alignment horizontal="right" wrapText="1"/>
    </xf>
    <xf numFmtId="0" fontId="7" fillId="0" borderId="1" xfId="1" applyNumberFormat="1" applyFont="1" applyBorder="1" applyAlignment="1">
      <alignment horizontal="right" wrapText="1"/>
    </xf>
    <xf numFmtId="9" fontId="6" fillId="0" borderId="1" xfId="2" applyFont="1" applyBorder="1" applyAlignment="1">
      <alignment horizontal="center"/>
    </xf>
    <xf numFmtId="186" fontId="6" fillId="0" borderId="0" xfId="1" applyNumberFormat="1" applyFont="1" applyAlignment="1">
      <alignment horizontal="center"/>
    </xf>
    <xf numFmtId="184" fontId="13" fillId="0" borderId="0" xfId="5" applyNumberFormat="1" applyFont="1"/>
    <xf numFmtId="183" fontId="9" fillId="0" borderId="0" xfId="1" applyNumberFormat="1"/>
    <xf numFmtId="183" fontId="15" fillId="0" borderId="0" xfId="0" applyNumberFormat="1" applyFont="1"/>
    <xf numFmtId="183" fontId="15" fillId="0" borderId="0" xfId="1" applyNumberFormat="1" applyFont="1"/>
    <xf numFmtId="184" fontId="9" fillId="0" borderId="0" xfId="5" applyNumberFormat="1"/>
    <xf numFmtId="0" fontId="16" fillId="0" borderId="1" xfId="0" applyFont="1" applyBorder="1"/>
    <xf numFmtId="0" fontId="0" fillId="0" borderId="2" xfId="0" applyBorder="1"/>
    <xf numFmtId="0" fontId="0" fillId="0" borderId="1" xfId="0" applyBorder="1"/>
    <xf numFmtId="184" fontId="9" fillId="0" borderId="1" xfId="5" applyNumberFormat="1" applyBorder="1"/>
    <xf numFmtId="0" fontId="0" fillId="0" borderId="3" xfId="0" applyBorder="1"/>
    <xf numFmtId="181" fontId="9" fillId="0" borderId="4" xfId="2" applyNumberFormat="1" applyBorder="1"/>
    <xf numFmtId="181" fontId="9" fillId="0" borderId="0" xfId="2" applyNumberFormat="1" applyBorder="1"/>
    <xf numFmtId="183" fontId="9" fillId="0" borderId="0" xfId="1" applyNumberFormat="1" applyBorder="1"/>
    <xf numFmtId="0" fontId="0" fillId="0" borderId="5" xfId="0" applyBorder="1"/>
    <xf numFmtId="184" fontId="9" fillId="0" borderId="4" xfId="5" applyNumberFormat="1" applyBorder="1"/>
    <xf numFmtId="184" fontId="9" fillId="0" borderId="0" xfId="5" applyNumberFormat="1" applyBorder="1"/>
    <xf numFmtId="9" fontId="9" fillId="0" borderId="4" xfId="2" applyBorder="1"/>
    <xf numFmtId="9" fontId="9" fillId="0" borderId="0" xfId="2" applyBorder="1"/>
    <xf numFmtId="9" fontId="9" fillId="2" borderId="4" xfId="2" applyFill="1" applyBorder="1"/>
    <xf numFmtId="0" fontId="0" fillId="0" borderId="4" xfId="0" applyBorder="1"/>
    <xf numFmtId="0" fontId="16" fillId="0" borderId="6" xfId="0" applyFont="1" applyBorder="1"/>
    <xf numFmtId="0" fontId="16" fillId="0" borderId="7" xfId="0" applyFont="1" applyBorder="1"/>
    <xf numFmtId="0" fontId="0" fillId="0" borderId="8" xfId="0" applyBorder="1"/>
    <xf numFmtId="186" fontId="4" fillId="0" borderId="0" xfId="4" applyNumberFormat="1" applyFont="1"/>
    <xf numFmtId="186" fontId="4" fillId="0" borderId="0" xfId="4" applyNumberFormat="1" applyFont="1" applyBorder="1"/>
    <xf numFmtId="0" fontId="7" fillId="0" borderId="1" xfId="4" applyNumberFormat="1" applyFont="1" applyBorder="1" applyAlignment="1">
      <alignment horizontal="right" wrapText="1"/>
    </xf>
    <xf numFmtId="186" fontId="5" fillId="0" borderId="0" xfId="4" applyNumberFormat="1" applyFont="1"/>
    <xf numFmtId="0" fontId="5" fillId="0" borderId="0" xfId="0" applyFont="1"/>
    <xf numFmtId="9" fontId="4" fillId="0" borderId="1" xfId="3" applyFont="1" applyBorder="1"/>
    <xf numFmtId="178" fontId="4" fillId="0" borderId="0" xfId="4" applyFont="1"/>
    <xf numFmtId="178" fontId="4" fillId="0" borderId="0" xfId="4" applyFont="1" applyAlignment="1">
      <alignment horizontal="center"/>
    </xf>
    <xf numFmtId="178" fontId="4" fillId="0" borderId="1" xfId="4" applyFont="1" applyBorder="1"/>
    <xf numFmtId="10" fontId="4" fillId="0" borderId="0" xfId="3" applyNumberFormat="1" applyFont="1"/>
    <xf numFmtId="0" fontId="5" fillId="0" borderId="0" xfId="0" applyFont="1" applyAlignment="1"/>
    <xf numFmtId="179" fontId="19" fillId="0" borderId="0" xfId="6" applyNumberFormat="1" applyFont="1"/>
    <xf numFmtId="183" fontId="19" fillId="0" borderId="0" xfId="8" applyNumberFormat="1" applyFont="1"/>
    <xf numFmtId="9" fontId="19" fillId="0" borderId="0" xfId="9" applyFont="1"/>
    <xf numFmtId="178" fontId="19" fillId="0" borderId="0" xfId="8" applyFont="1"/>
    <xf numFmtId="184" fontId="19" fillId="0" borderId="0" xfId="7" applyNumberFormat="1" applyFont="1"/>
    <xf numFmtId="183" fontId="19" fillId="0" borderId="7" xfId="8" applyNumberFormat="1" applyFont="1" applyBorder="1"/>
    <xf numFmtId="183" fontId="19" fillId="0" borderId="1" xfId="8" applyNumberFormat="1" applyFont="1" applyBorder="1"/>
    <xf numFmtId="179" fontId="20" fillId="0" borderId="1" xfId="6" applyNumberFormat="1" applyFont="1" applyBorder="1" applyAlignment="1">
      <alignment horizontal="center"/>
    </xf>
    <xf numFmtId="179" fontId="19" fillId="0" borderId="0" xfId="6" applyNumberFormat="1" applyFont="1" applyAlignment="1">
      <alignment wrapText="1"/>
    </xf>
    <xf numFmtId="178" fontId="19" fillId="0" borderId="0" xfId="8" applyFont="1" applyAlignment="1">
      <alignment wrapText="1"/>
    </xf>
    <xf numFmtId="181" fontId="0" fillId="0" borderId="0" xfId="9" applyNumberFormat="1" applyFont="1"/>
    <xf numFmtId="178" fontId="0" fillId="0" borderId="0" xfId="8" applyFont="1"/>
    <xf numFmtId="179" fontId="21" fillId="0" borderId="0" xfId="6" applyNumberFormat="1" applyFont="1" applyAlignment="1">
      <alignment wrapText="1"/>
    </xf>
    <xf numFmtId="179" fontId="22" fillId="0" borderId="0" xfId="6" applyNumberFormat="1" applyFont="1" applyAlignment="1">
      <alignment wrapText="1"/>
    </xf>
    <xf numFmtId="179" fontId="22" fillId="0" borderId="0" xfId="6" applyNumberFormat="1" applyFont="1"/>
    <xf numFmtId="185" fontId="17" fillId="0" borderId="10" xfId="5" applyNumberFormat="1" applyFont="1" applyBorder="1" applyAlignment="1">
      <alignment horizontal="right"/>
    </xf>
    <xf numFmtId="0" fontId="6" fillId="0" borderId="0" xfId="0" applyFont="1" applyAlignment="1"/>
    <xf numFmtId="0" fontId="6" fillId="0" borderId="0" xfId="0" applyFont="1" applyFill="1" applyAlignment="1"/>
    <xf numFmtId="178" fontId="4" fillId="0" borderId="0" xfId="1" applyNumberFormat="1" applyFont="1" applyBorder="1"/>
    <xf numFmtId="186" fontId="4" fillId="0" borderId="0" xfId="0" applyNumberFormat="1" applyFont="1"/>
    <xf numFmtId="186" fontId="4" fillId="0" borderId="0" xfId="0" applyNumberFormat="1" applyFont="1" applyAlignment="1">
      <alignment horizontal="right"/>
    </xf>
    <xf numFmtId="0" fontId="6" fillId="0" borderId="0" xfId="0" applyFont="1" applyAlignment="1">
      <alignment horizontal="left" indent="2"/>
    </xf>
    <xf numFmtId="186" fontId="4" fillId="0" borderId="0" xfId="8" applyNumberFormat="1" applyFont="1"/>
    <xf numFmtId="177" fontId="4" fillId="0" borderId="0" xfId="7" quotePrefix="1" applyFont="1" applyBorder="1" applyAlignment="1" applyProtection="1">
      <protection locked="0"/>
    </xf>
    <xf numFmtId="176" fontId="4" fillId="0" borderId="0" xfId="7" quotePrefix="1" applyNumberFormat="1" applyFont="1" applyBorder="1" applyAlignment="1" applyProtection="1">
      <protection locked="0"/>
    </xf>
    <xf numFmtId="177" fontId="24" fillId="0" borderId="0" xfId="7" quotePrefix="1" applyFont="1" applyBorder="1" applyAlignment="1" applyProtection="1">
      <protection locked="0"/>
    </xf>
    <xf numFmtId="0" fontId="24" fillId="0" borderId="0" xfId="6" applyFont="1" applyAlignment="1"/>
    <xf numFmtId="176" fontId="24" fillId="0" borderId="0" xfId="7" quotePrefix="1" applyNumberFormat="1" applyFont="1" applyBorder="1" applyAlignment="1" applyProtection="1">
      <protection locked="0"/>
    </xf>
    <xf numFmtId="0" fontId="24" fillId="0" borderId="0" xfId="6" applyFont="1"/>
    <xf numFmtId="177" fontId="24" fillId="0" borderId="1" xfId="7" applyFont="1" applyBorder="1" applyAlignment="1" applyProtection="1">
      <protection locked="0"/>
    </xf>
    <xf numFmtId="0" fontId="26" fillId="0" borderId="0" xfId="6" applyFont="1"/>
    <xf numFmtId="0" fontId="2" fillId="0" borderId="0" xfId="6" applyFont="1" applyAlignment="1" applyProtection="1">
      <alignment horizontal="left" wrapText="1"/>
      <protection locked="0"/>
    </xf>
    <xf numFmtId="176" fontId="24" fillId="0" borderId="0" xfId="6" applyNumberFormat="1" applyFont="1" applyAlignment="1" applyProtection="1">
      <alignment horizontal="right" wrapText="1"/>
      <protection locked="0"/>
    </xf>
    <xf numFmtId="0" fontId="23" fillId="0" borderId="0" xfId="6" applyFont="1" applyAlignment="1" applyProtection="1">
      <alignment horizontal="left" wrapText="1"/>
      <protection locked="0"/>
    </xf>
    <xf numFmtId="0" fontId="23" fillId="0" borderId="0" xfId="6" quotePrefix="1" applyFont="1" applyAlignment="1" applyProtection="1">
      <alignment horizontal="left"/>
      <protection locked="0"/>
    </xf>
    <xf numFmtId="0" fontId="26" fillId="0" borderId="0" xfId="6" applyFont="1" applyAlignment="1"/>
    <xf numFmtId="177" fontId="24" fillId="0" borderId="0" xfId="7" applyFont="1" applyBorder="1" applyAlignment="1" applyProtection="1">
      <protection locked="0"/>
    </xf>
    <xf numFmtId="176" fontId="27" fillId="0" borderId="0" xfId="7" quotePrefix="1" applyNumberFormat="1" applyFont="1" applyBorder="1" applyAlignment="1" applyProtection="1">
      <protection locked="0"/>
    </xf>
    <xf numFmtId="0" fontId="24" fillId="0" borderId="0" xfId="6" applyFont="1" applyAlignment="1">
      <alignment horizontal="left" indent="3"/>
    </xf>
    <xf numFmtId="177" fontId="24" fillId="0" borderId="0" xfId="6" applyNumberFormat="1" applyFont="1"/>
    <xf numFmtId="177" fontId="28" fillId="0" borderId="0" xfId="7" applyFont="1"/>
    <xf numFmtId="177" fontId="24" fillId="0" borderId="0" xfId="7" applyFont="1"/>
    <xf numFmtId="0" fontId="2" fillId="0" borderId="0" xfId="6" applyFont="1"/>
    <xf numFmtId="176" fontId="24" fillId="0" borderId="0" xfId="6" applyNumberFormat="1" applyFont="1"/>
    <xf numFmtId="0" fontId="2" fillId="0" borderId="0" xfId="6" applyFont="1" applyAlignment="1" applyProtection="1">
      <alignment horizontal="left" wrapText="1" indent="5"/>
      <protection locked="0"/>
    </xf>
    <xf numFmtId="0" fontId="24" fillId="0" borderId="0" xfId="6" applyFont="1" applyAlignment="1" applyProtection="1">
      <alignment horizontal="left" wrapText="1" indent="5"/>
      <protection locked="0"/>
    </xf>
    <xf numFmtId="176" fontId="24" fillId="0" borderId="0" xfId="7" applyNumberFormat="1" applyFont="1" applyBorder="1" applyAlignment="1" applyProtection="1">
      <alignment wrapText="1"/>
      <protection locked="0"/>
    </xf>
    <xf numFmtId="178" fontId="24" fillId="0" borderId="0" xfId="8" applyFont="1" applyAlignment="1">
      <alignment horizontal="right"/>
    </xf>
    <xf numFmtId="188" fontId="24" fillId="0" borderId="0" xfId="6" applyNumberFormat="1" applyFont="1" applyAlignment="1">
      <alignment horizontal="justify" vertical="top" wrapText="1"/>
    </xf>
    <xf numFmtId="177" fontId="24" fillId="0" borderId="12" xfId="6" applyNumberFormat="1" applyFont="1" applyBorder="1" applyAlignment="1">
      <alignment horizontal="right" vertical="top" wrapText="1"/>
    </xf>
    <xf numFmtId="189" fontId="24" fillId="0" borderId="12" xfId="6" applyNumberFormat="1" applyFont="1" applyBorder="1" applyAlignment="1">
      <alignment horizontal="right" vertical="top" wrapText="1"/>
    </xf>
    <xf numFmtId="177" fontId="24" fillId="0" borderId="0" xfId="6" applyNumberFormat="1" applyFont="1" applyAlignment="1">
      <alignment horizontal="right" vertical="top" wrapText="1"/>
    </xf>
    <xf numFmtId="0" fontId="25" fillId="0" borderId="11" xfId="6" applyFont="1" applyBorder="1" applyAlignment="1">
      <alignment horizontal="center" wrapText="1"/>
    </xf>
    <xf numFmtId="0" fontId="25" fillId="0" borderId="0" xfId="6" applyFont="1" applyAlignment="1">
      <alignment vertical="top" wrapText="1"/>
    </xf>
    <xf numFmtId="186" fontId="24" fillId="0" borderId="0" xfId="8" applyNumberFormat="1" applyFont="1"/>
    <xf numFmtId="10" fontId="24" fillId="0" borderId="0" xfId="9" applyNumberFormat="1" applyFont="1" applyAlignment="1" applyProtection="1">
      <alignment horizontal="left" wrapText="1" indent="5"/>
      <protection locked="0"/>
    </xf>
    <xf numFmtId="10" fontId="26" fillId="0" borderId="0" xfId="9" applyNumberFormat="1" applyFont="1" applyAlignment="1" applyProtection="1">
      <alignment horizontal="right" wrapText="1"/>
      <protection locked="0"/>
    </xf>
    <xf numFmtId="0" fontId="2" fillId="0" borderId="0" xfId="6" applyFont="1" applyAlignment="1" applyProtection="1">
      <alignment wrapText="1"/>
      <protection locked="0"/>
    </xf>
    <xf numFmtId="0" fontId="24" fillId="0" borderId="0" xfId="6" applyFont="1" applyAlignment="1" applyProtection="1">
      <alignment wrapText="1"/>
      <protection locked="0"/>
    </xf>
    <xf numFmtId="0" fontId="2" fillId="0" borderId="0" xfId="6" applyAlignment="1" applyProtection="1">
      <alignment wrapText="1"/>
      <protection locked="0"/>
    </xf>
    <xf numFmtId="0" fontId="24" fillId="0" borderId="0" xfId="6" applyFont="1" applyBorder="1" applyAlignment="1" applyProtection="1">
      <alignment wrapText="1"/>
      <protection locked="0"/>
    </xf>
    <xf numFmtId="190" fontId="24" fillId="0" borderId="0" xfId="9" applyNumberFormat="1" applyFont="1" applyBorder="1" applyAlignment="1" applyProtection="1">
      <alignment wrapText="1"/>
      <protection locked="0"/>
    </xf>
    <xf numFmtId="177" fontId="24" fillId="0" borderId="0" xfId="7" applyFont="1" applyBorder="1" applyAlignment="1" applyProtection="1">
      <alignment wrapText="1"/>
      <protection locked="0"/>
    </xf>
    <xf numFmtId="0" fontId="31" fillId="0" borderId="0" xfId="6" applyFont="1" applyBorder="1" applyAlignment="1" applyProtection="1">
      <alignment wrapText="1"/>
      <protection locked="0"/>
    </xf>
    <xf numFmtId="186" fontId="4" fillId="0" borderId="0" xfId="8" applyNumberFormat="1" applyFont="1" applyBorder="1"/>
    <xf numFmtId="9" fontId="4" fillId="0" borderId="0" xfId="9" applyFont="1"/>
    <xf numFmtId="0" fontId="5" fillId="0" borderId="0" xfId="6" applyFont="1"/>
    <xf numFmtId="0" fontId="2" fillId="0" borderId="0" xfId="6" applyAlignment="1" applyProtection="1">
      <alignment horizontal="left" wrapText="1" indent="5"/>
      <protection locked="0"/>
    </xf>
    <xf numFmtId="0" fontId="4" fillId="0" borderId="0" xfId="6" applyFont="1" applyFill="1" applyBorder="1" applyAlignment="1">
      <alignment vertical="top" wrapText="1"/>
    </xf>
    <xf numFmtId="181" fontId="26" fillId="0" borderId="0" xfId="6" applyNumberFormat="1" applyFont="1"/>
    <xf numFmtId="0" fontId="24" fillId="0" borderId="0" xfId="6" applyFont="1" applyFill="1" applyBorder="1" applyAlignment="1">
      <alignment vertical="top" wrapText="1"/>
    </xf>
    <xf numFmtId="0" fontId="23" fillId="0" borderId="0" xfId="6" applyFont="1" applyBorder="1"/>
    <xf numFmtId="178" fontId="26" fillId="0" borderId="0" xfId="8" applyNumberFormat="1" applyFont="1"/>
    <xf numFmtId="0" fontId="29" fillId="0" borderId="0" xfId="6" applyFont="1"/>
    <xf numFmtId="177" fontId="26" fillId="0" borderId="0" xfId="7" applyNumberFormat="1" applyFont="1"/>
    <xf numFmtId="184" fontId="24" fillId="0" borderId="0" xfId="7" applyNumberFormat="1" applyFont="1"/>
    <xf numFmtId="0" fontId="24" fillId="0" borderId="0" xfId="6" applyFont="1" applyBorder="1" applyAlignment="1">
      <alignment vertical="top" wrapText="1"/>
    </xf>
    <xf numFmtId="183" fontId="23" fillId="0" borderId="0" xfId="8" applyNumberFormat="1" applyFont="1" applyBorder="1"/>
    <xf numFmtId="183" fontId="24" fillId="0" borderId="1" xfId="8" applyNumberFormat="1" applyFont="1" applyBorder="1"/>
    <xf numFmtId="183" fontId="24" fillId="0" borderId="0" xfId="8" applyNumberFormat="1" applyFont="1"/>
    <xf numFmtId="0" fontId="24" fillId="0" borderId="0" xfId="6" applyFont="1" applyBorder="1" applyAlignment="1">
      <alignment horizontal="left" vertical="top" wrapText="1" indent="2"/>
    </xf>
    <xf numFmtId="183" fontId="0" fillId="0" borderId="0" xfId="8" applyNumberFormat="1" applyFont="1"/>
    <xf numFmtId="0" fontId="24" fillId="0" borderId="0" xfId="6" applyFont="1" applyBorder="1"/>
    <xf numFmtId="0" fontId="24" fillId="0" borderId="0" xfId="6" applyFont="1" applyBorder="1" applyAlignment="1">
      <alignment horizontal="center" vertical="top" wrapText="1"/>
    </xf>
    <xf numFmtId="37" fontId="24" fillId="0" borderId="0" xfId="8" applyNumberFormat="1" applyFont="1" applyAlignment="1">
      <alignment horizontal="right" wrapText="1"/>
    </xf>
    <xf numFmtId="183" fontId="24" fillId="0" borderId="0" xfId="8" applyNumberFormat="1" applyFont="1" applyBorder="1" applyAlignment="1">
      <alignment horizontal="center" vertical="top" wrapText="1"/>
    </xf>
    <xf numFmtId="0" fontId="26" fillId="0" borderId="1" xfId="6" applyFont="1" applyBorder="1" applyAlignment="1">
      <alignment horizontal="center" vertical="top" wrapText="1"/>
    </xf>
    <xf numFmtId="0" fontId="2" fillId="0" borderId="0" xfId="6" applyFont="1" applyBorder="1"/>
    <xf numFmtId="0" fontId="24" fillId="0" borderId="0" xfId="6" applyFont="1" applyAlignment="1">
      <alignment horizontal="left" wrapText="1"/>
    </xf>
    <xf numFmtId="183" fontId="24" fillId="0" borderId="0" xfId="6" applyNumberFormat="1" applyFont="1" applyAlignment="1">
      <alignment horizontal="left" wrapText="1"/>
    </xf>
    <xf numFmtId="0" fontId="24" fillId="0" borderId="0" xfId="6" applyFont="1" applyAlignment="1">
      <alignment horizontal="right" wrapText="1"/>
    </xf>
    <xf numFmtId="0" fontId="2" fillId="0" borderId="0" xfId="6" applyFont="1" applyAlignment="1">
      <alignment horizontal="center"/>
    </xf>
    <xf numFmtId="0" fontId="2" fillId="0" borderId="1" xfId="6" applyFont="1" applyBorder="1" applyAlignment="1">
      <alignment horizontal="center"/>
    </xf>
    <xf numFmtId="0" fontId="2" fillId="0" borderId="1" xfId="6" applyFont="1" applyBorder="1"/>
    <xf numFmtId="0" fontId="24" fillId="0" borderId="0" xfId="6" applyFont="1" applyAlignment="1">
      <alignment horizontal="left"/>
    </xf>
    <xf numFmtId="9" fontId="24" fillId="0" borderId="0" xfId="6" applyNumberFormat="1" applyFont="1"/>
    <xf numFmtId="10" fontId="24" fillId="0" borderId="0" xfId="9" applyNumberFormat="1" applyFont="1"/>
    <xf numFmtId="184" fontId="24" fillId="0" borderId="0" xfId="7" applyNumberFormat="1" applyFont="1" applyAlignment="1">
      <alignment horizontal="left"/>
    </xf>
    <xf numFmtId="3" fontId="24" fillId="0" borderId="0" xfId="7" applyNumberFormat="1" applyFont="1"/>
    <xf numFmtId="0" fontId="24" fillId="0" borderId="0" xfId="6" applyFont="1" applyAlignment="1">
      <alignment horizontal="right"/>
    </xf>
    <xf numFmtId="0" fontId="24" fillId="0" borderId="0" xfId="6" applyFont="1" applyAlignment="1">
      <alignment horizontal="left" indent="4"/>
    </xf>
    <xf numFmtId="0" fontId="25" fillId="0" borderId="0" xfId="6" applyFont="1"/>
    <xf numFmtId="0" fontId="3" fillId="0" borderId="0" xfId="6" applyFont="1"/>
    <xf numFmtId="0" fontId="32" fillId="0" borderId="0" xfId="6" applyFont="1"/>
    <xf numFmtId="0" fontId="14" fillId="0" borderId="0" xfId="6" applyFont="1" applyAlignment="1">
      <alignment horizontal="left" wrapText="1"/>
    </xf>
    <xf numFmtId="181" fontId="33" fillId="0" borderId="2" xfId="6" applyNumberFormat="1" applyFont="1" applyBorder="1"/>
    <xf numFmtId="0" fontId="14" fillId="0" borderId="1" xfId="6" applyFont="1" applyBorder="1" applyAlignment="1">
      <alignment horizontal="right"/>
    </xf>
    <xf numFmtId="0" fontId="32" fillId="0" borderId="1" xfId="6" applyFont="1" applyBorder="1"/>
    <xf numFmtId="0" fontId="32" fillId="0" borderId="3" xfId="6" applyFont="1" applyBorder="1"/>
    <xf numFmtId="181" fontId="14" fillId="0" borderId="2" xfId="9" applyNumberFormat="1" applyFont="1" applyBorder="1"/>
    <xf numFmtId="181" fontId="14" fillId="0" borderId="0" xfId="9" applyNumberFormat="1" applyFont="1" applyBorder="1"/>
    <xf numFmtId="177" fontId="14" fillId="0" borderId="0" xfId="6" applyNumberFormat="1" applyFont="1" applyBorder="1"/>
    <xf numFmtId="0" fontId="14" fillId="0" borderId="5" xfId="6" applyFont="1" applyBorder="1" applyAlignment="1">
      <alignment horizontal="right"/>
    </xf>
    <xf numFmtId="0" fontId="14" fillId="0" borderId="0" xfId="6" applyFont="1"/>
    <xf numFmtId="181" fontId="14" fillId="0" borderId="4" xfId="9" applyNumberFormat="1" applyFont="1" applyBorder="1"/>
    <xf numFmtId="0" fontId="14" fillId="0" borderId="4" xfId="6" applyFont="1" applyBorder="1"/>
    <xf numFmtId="0" fontId="14" fillId="0" borderId="0" xfId="6" applyFont="1" applyBorder="1"/>
    <xf numFmtId="9" fontId="14" fillId="0" borderId="0" xfId="6" applyNumberFormat="1" applyFont="1" applyBorder="1"/>
    <xf numFmtId="0" fontId="32" fillId="0" borderId="5" xfId="6" applyFont="1" applyBorder="1"/>
    <xf numFmtId="0" fontId="8" fillId="0" borderId="2" xfId="6" applyFont="1" applyBorder="1" applyAlignment="1">
      <alignment horizontal="center" wrapText="1"/>
    </xf>
    <xf numFmtId="0" fontId="8" fillId="0" borderId="1" xfId="6" applyFont="1" applyBorder="1" applyAlignment="1">
      <alignment horizontal="center" wrapText="1"/>
    </xf>
    <xf numFmtId="0" fontId="8" fillId="0" borderId="3" xfId="6" applyFont="1" applyBorder="1" applyAlignment="1">
      <alignment horizontal="right"/>
    </xf>
    <xf numFmtId="0" fontId="14" fillId="0" borderId="13" xfId="6" applyFont="1" applyBorder="1"/>
    <xf numFmtId="0" fontId="14" fillId="0" borderId="9" xfId="6" applyFont="1" applyBorder="1"/>
    <xf numFmtId="9" fontId="14" fillId="0" borderId="9" xfId="6" applyNumberFormat="1" applyFont="1" applyBorder="1"/>
    <xf numFmtId="0" fontId="8" fillId="0" borderId="8" xfId="6" applyFont="1" applyBorder="1"/>
    <xf numFmtId="0" fontId="14" fillId="0" borderId="0" xfId="6" applyFont="1" applyAlignment="1">
      <alignment horizontal="right" vertical="top"/>
    </xf>
    <xf numFmtId="183" fontId="14" fillId="0" borderId="0" xfId="8" applyNumberFormat="1" applyFont="1" applyBorder="1"/>
    <xf numFmtId="181" fontId="14" fillId="0" borderId="0" xfId="9" applyNumberFormat="1" applyFont="1"/>
    <xf numFmtId="0" fontId="14" fillId="0" borderId="0" xfId="6" applyFont="1" applyAlignment="1">
      <alignment horizontal="left" indent="1"/>
    </xf>
    <xf numFmtId="9" fontId="14" fillId="0" borderId="0" xfId="6" applyNumberFormat="1" applyFont="1"/>
    <xf numFmtId="184" fontId="14" fillId="0" borderId="0" xfId="7" applyNumberFormat="1" applyFont="1" applyBorder="1"/>
    <xf numFmtId="0" fontId="14" fillId="0" borderId="2" xfId="6" applyFont="1" applyBorder="1"/>
    <xf numFmtId="184" fontId="14" fillId="0" borderId="1" xfId="7" applyNumberFormat="1" applyFont="1" applyBorder="1"/>
    <xf numFmtId="0" fontId="14" fillId="0" borderId="3" xfId="6" applyFont="1" applyBorder="1"/>
    <xf numFmtId="0" fontId="14" fillId="0" borderId="5" xfId="6" applyFont="1" applyBorder="1" applyAlignment="1">
      <alignment horizontal="left" indent="1"/>
    </xf>
    <xf numFmtId="180" fontId="14" fillId="0" borderId="0" xfId="8" applyNumberFormat="1" applyFont="1" applyBorder="1"/>
    <xf numFmtId="177" fontId="14" fillId="0" borderId="0" xfId="7" applyNumberFormat="1" applyFont="1" applyBorder="1"/>
    <xf numFmtId="178" fontId="14" fillId="0" borderId="0" xfId="8" applyFont="1" applyBorder="1"/>
    <xf numFmtId="10" fontId="14" fillId="0" borderId="0" xfId="9" applyNumberFormat="1" applyFont="1" applyBorder="1"/>
    <xf numFmtId="0" fontId="14" fillId="0" borderId="0" xfId="6" applyFont="1" applyAlignment="1">
      <alignment horizontal="left" indent="4"/>
    </xf>
    <xf numFmtId="0" fontId="35" fillId="0" borderId="0" xfId="6" applyFont="1"/>
    <xf numFmtId="0" fontId="37" fillId="0" borderId="0" xfId="6" applyFont="1"/>
    <xf numFmtId="183" fontId="3" fillId="0" borderId="0" xfId="8" applyNumberFormat="1" applyFont="1"/>
    <xf numFmtId="177" fontId="5" fillId="0" borderId="0" xfId="7" applyFont="1"/>
    <xf numFmtId="183" fontId="3" fillId="0" borderId="0" xfId="8" applyNumberFormat="1" applyFont="1" applyAlignment="1">
      <alignment horizontal="left" indent="1"/>
    </xf>
    <xf numFmtId="178" fontId="3" fillId="0" borderId="0" xfId="8" applyNumberFormat="1" applyFont="1"/>
    <xf numFmtId="183" fontId="38" fillId="0" borderId="1" xfId="8" applyNumberFormat="1" applyFont="1" applyBorder="1" applyAlignment="1">
      <alignment horizontal="center"/>
    </xf>
    <xf numFmtId="178" fontId="3" fillId="0" borderId="1" xfId="8" applyNumberFormat="1" applyFont="1" applyBorder="1"/>
    <xf numFmtId="178" fontId="3" fillId="0" borderId="0" xfId="8" applyNumberFormat="1" applyFont="1" applyBorder="1"/>
    <xf numFmtId="177" fontId="5" fillId="0" borderId="0" xfId="7" applyNumberFormat="1" applyFont="1" applyBorder="1"/>
    <xf numFmtId="176" fontId="5" fillId="0" borderId="0" xfId="7" applyNumberFormat="1" applyFont="1" applyAlignment="1">
      <alignment horizontal="left" indent="1"/>
    </xf>
    <xf numFmtId="183" fontId="3" fillId="0" borderId="0" xfId="8" quotePrefix="1" applyNumberFormat="1" applyFont="1" applyAlignment="1">
      <alignment horizontal="left" indent="1"/>
    </xf>
    <xf numFmtId="184" fontId="5" fillId="0" borderId="0" xfId="7" applyNumberFormat="1" applyFont="1"/>
    <xf numFmtId="183" fontId="3" fillId="0" borderId="1" xfId="8" applyNumberFormat="1" applyFont="1" applyBorder="1"/>
    <xf numFmtId="181" fontId="3" fillId="0" borderId="0" xfId="9" applyNumberFormat="1" applyFont="1"/>
    <xf numFmtId="183" fontId="5" fillId="0" borderId="0" xfId="8" applyNumberFormat="1" applyFont="1"/>
    <xf numFmtId="184" fontId="3" fillId="0" borderId="0" xfId="7" applyNumberFormat="1" applyFont="1"/>
    <xf numFmtId="0" fontId="3" fillId="0" borderId="0" xfId="6" applyFont="1" applyAlignment="1">
      <alignment horizontal="left" indent="1"/>
    </xf>
    <xf numFmtId="0" fontId="36" fillId="0" borderId="1" xfId="6" applyFont="1" applyBorder="1"/>
    <xf numFmtId="0" fontId="36" fillId="0" borderId="1" xfId="6" applyFont="1" applyBorder="1" applyAlignment="1">
      <alignment horizontal="right" wrapText="1"/>
    </xf>
    <xf numFmtId="186" fontId="3" fillId="0" borderId="0" xfId="8" applyNumberFormat="1" applyFont="1"/>
    <xf numFmtId="9" fontId="3" fillId="0" borderId="0" xfId="9" applyFont="1"/>
    <xf numFmtId="0" fontId="4" fillId="0" borderId="0" xfId="0" applyFont="1" applyAlignment="1">
      <alignment horizontal="left" vertical="top" wrapText="1"/>
    </xf>
    <xf numFmtId="0" fontId="0" fillId="0" borderId="0" xfId="0"/>
    <xf numFmtId="0" fontId="0" fillId="0" borderId="0" xfId="0" applyAlignment="1"/>
    <xf numFmtId="179" fontId="5" fillId="0" borderId="0" xfId="0" applyNumberFormat="1" applyFont="1" applyAlignment="1">
      <alignment horizontal="center"/>
    </xf>
    <xf numFmtId="0" fontId="3" fillId="0" borderId="0" xfId="0" applyFont="1" applyAlignment="1">
      <alignment horizontal="center"/>
    </xf>
    <xf numFmtId="0" fontId="6" fillId="0" borderId="0" xfId="0" applyFont="1" applyAlignment="1">
      <alignment horizontal="center"/>
    </xf>
    <xf numFmtId="0" fontId="4" fillId="0" borderId="0" xfId="0" applyFont="1" applyAlignment="1">
      <alignment horizontal="center"/>
    </xf>
    <xf numFmtId="0" fontId="4" fillId="0" borderId="0" xfId="0" applyFont="1" applyBorder="1" applyAlignment="1">
      <alignment horizontal="center"/>
    </xf>
    <xf numFmtId="186" fontId="6" fillId="0" borderId="0" xfId="1" applyNumberFormat="1" applyFont="1" applyAlignment="1">
      <alignment horizontal="center"/>
    </xf>
    <xf numFmtId="186" fontId="4" fillId="0" borderId="0" xfId="1" applyNumberFormat="1" applyFont="1" applyAlignment="1">
      <alignment horizontal="center"/>
    </xf>
    <xf numFmtId="186" fontId="6" fillId="0" borderId="0" xfId="1" applyNumberFormat="1" applyFont="1" applyBorder="1" applyAlignment="1">
      <alignment horizontal="center"/>
    </xf>
    <xf numFmtId="179" fontId="19" fillId="0" borderId="0" xfId="6" applyNumberFormat="1" applyFont="1" applyAlignment="1">
      <alignment wrapText="1"/>
    </xf>
    <xf numFmtId="179" fontId="19" fillId="0" borderId="0" xfId="6" applyNumberFormat="1" applyFont="1" applyAlignment="1">
      <alignment horizontal="center"/>
    </xf>
    <xf numFmtId="179" fontId="19" fillId="0" borderId="0" xfId="6" applyNumberFormat="1" applyFont="1" applyAlignment="1">
      <alignment horizontal="left" wrapText="1"/>
    </xf>
    <xf numFmtId="179" fontId="21" fillId="0" borderId="0" xfId="6" applyNumberFormat="1" applyFont="1" applyAlignment="1">
      <alignment horizontal="left" wrapText="1"/>
    </xf>
    <xf numFmtId="179" fontId="19" fillId="0" borderId="0" xfId="6" applyNumberFormat="1" applyFont="1" applyAlignment="1">
      <alignment horizontal="left"/>
    </xf>
    <xf numFmtId="0" fontId="6" fillId="0" borderId="0" xfId="0" applyFont="1" applyAlignment="1">
      <alignment horizontal="left" indent="2"/>
    </xf>
    <xf numFmtId="0" fontId="4" fillId="0" borderId="11" xfId="0" applyFont="1" applyBorder="1" applyAlignment="1">
      <alignment horizontal="center"/>
    </xf>
    <xf numFmtId="186" fontId="6" fillId="0" borderId="1" xfId="1" applyNumberFormat="1" applyFont="1" applyBorder="1" applyAlignment="1">
      <alignment horizontal="center"/>
    </xf>
    <xf numFmtId="0" fontId="25" fillId="0" borderId="0" xfId="6" applyFont="1" applyAlignment="1">
      <alignment horizontal="center" wrapText="1" readingOrder="1"/>
    </xf>
    <xf numFmtId="0" fontId="25" fillId="0" borderId="11" xfId="6" applyFont="1" applyBorder="1" applyAlignment="1">
      <alignment horizontal="center" wrapText="1" readingOrder="1"/>
    </xf>
    <xf numFmtId="0" fontId="24" fillId="0" borderId="0" xfId="6" applyFont="1" applyAlignment="1" applyProtection="1">
      <alignment horizontal="left" wrapText="1" indent="5"/>
      <protection locked="0"/>
    </xf>
    <xf numFmtId="0" fontId="2" fillId="0" borderId="0" xfId="6" applyFont="1" applyAlignment="1" applyProtection="1">
      <alignment horizontal="left" wrapText="1" indent="5"/>
      <protection locked="0"/>
    </xf>
    <xf numFmtId="0" fontId="24" fillId="0" borderId="0" xfId="6" applyFont="1" applyAlignment="1" applyProtection="1">
      <alignment horizontal="left" wrapText="1"/>
      <protection locked="0"/>
    </xf>
    <xf numFmtId="0" fontId="2" fillId="0" borderId="0" xfId="6" applyFont="1" applyAlignment="1" applyProtection="1">
      <alignment horizontal="left" wrapText="1"/>
      <protection locked="0"/>
    </xf>
    <xf numFmtId="0" fontId="24" fillId="0" borderId="0" xfId="6" applyFont="1" applyAlignment="1" applyProtection="1">
      <alignment wrapText="1"/>
      <protection locked="0"/>
    </xf>
    <xf numFmtId="0" fontId="2" fillId="0" borderId="0" xfId="6" applyFont="1" applyAlignment="1" applyProtection="1">
      <alignment wrapText="1"/>
      <protection locked="0"/>
    </xf>
    <xf numFmtId="0" fontId="26" fillId="0" borderId="0" xfId="6" applyFont="1" applyAlignment="1" applyProtection="1">
      <alignment horizontal="left" wrapText="1" indent="5"/>
      <protection locked="0"/>
    </xf>
    <xf numFmtId="0" fontId="29" fillId="0" borderId="0" xfId="6" applyFont="1" applyAlignment="1" applyProtection="1">
      <alignment horizontal="left" wrapText="1" indent="5"/>
      <protection locked="0"/>
    </xf>
    <xf numFmtId="0" fontId="26" fillId="0" borderId="0" xfId="6" applyFont="1" applyBorder="1" applyAlignment="1">
      <alignment horizontal="center" vertical="top" wrapText="1"/>
    </xf>
    <xf numFmtId="0" fontId="2" fillId="0" borderId="0" xfId="6" applyFont="1" applyAlignment="1">
      <alignment horizontal="center"/>
    </xf>
    <xf numFmtId="0" fontId="26" fillId="0" borderId="0" xfId="6" applyFont="1" applyAlignment="1">
      <alignment horizontal="center"/>
    </xf>
    <xf numFmtId="0" fontId="24" fillId="0" borderId="0" xfId="6" applyFont="1" applyAlignment="1">
      <alignment horizontal="left" wrapText="1"/>
    </xf>
    <xf numFmtId="183" fontId="5" fillId="0" borderId="0" xfId="8" applyNumberFormat="1" applyFont="1" applyAlignment="1">
      <alignment wrapText="1"/>
    </xf>
    <xf numFmtId="0" fontId="3" fillId="0" borderId="0" xfId="6" applyFont="1" applyAlignment="1">
      <alignment horizontal="left" wrapText="1" indent="1"/>
    </xf>
    <xf numFmtId="183" fontId="5" fillId="0" borderId="0" xfId="8" applyNumberFormat="1" applyFont="1" applyBorder="1" applyAlignment="1" applyProtection="1">
      <alignment wrapText="1"/>
      <protection locked="0"/>
    </xf>
    <xf numFmtId="183" fontId="3" fillId="0" borderId="0" xfId="8" applyNumberFormat="1" applyFont="1" applyBorder="1" applyAlignment="1" applyProtection="1">
      <alignment wrapText="1"/>
      <protection locked="0"/>
    </xf>
    <xf numFmtId="0" fontId="5" fillId="0" borderId="0" xfId="6" applyFont="1" applyAlignment="1">
      <alignment horizontal="center"/>
    </xf>
    <xf numFmtId="0" fontId="3" fillId="0" borderId="0" xfId="6" applyFont="1" applyAlignment="1">
      <alignment horizontal="center"/>
    </xf>
    <xf numFmtId="0" fontId="37" fillId="0" borderId="0" xfId="6" applyFont="1" applyAlignment="1">
      <alignment wrapText="1"/>
    </xf>
  </cellXfs>
  <cellStyles count="12">
    <cellStyle name="Comma 2" xfId="4"/>
    <cellStyle name="Comma 3" xfId="8"/>
    <cellStyle name="Currency 2" xfId="7"/>
    <cellStyle name="Currency 3" xfId="10"/>
    <cellStyle name="Normal 2" xfId="6"/>
    <cellStyle name="Normal 3" xfId="11"/>
    <cellStyle name="Percent 2" xfId="3"/>
    <cellStyle name="Percent 3" xfId="9"/>
    <cellStyle name="パーセント" xfId="2" builtinId="5"/>
    <cellStyle name="桁区切り [0.00]" xfId="1" builtinId="3"/>
    <cellStyle name="通貨 [0.00]" xfId="5" builtinId="4"/>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4</xdr:col>
      <xdr:colOff>76200</xdr:colOff>
      <xdr:row>3</xdr:row>
      <xdr:rowOff>0</xdr:rowOff>
    </xdr:from>
    <xdr:ext cx="8010525" cy="3895725"/>
    <xdr:pic>
      <xdr:nvPicPr>
        <xdr:cNvPr id="2"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2514600" y="476250"/>
          <a:ext cx="8010525" cy="3895725"/>
        </a:xfrm>
        <a:prstGeom prst="rect">
          <a:avLst/>
        </a:prstGeom>
        <a:noFill/>
      </xdr:spPr>
    </xdr:pic>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election activeCell="B10" sqref="B10"/>
    </sheetView>
  </sheetViews>
  <sheetFormatPr defaultColWidth="9.28515625" defaultRowHeight="15" x14ac:dyDescent="0.2"/>
  <cols>
    <col min="1" max="1" width="9.28515625" style="11"/>
    <col min="2" max="2" width="32.5703125" style="11" customWidth="1"/>
    <col min="3" max="16384" width="9.28515625" style="11"/>
  </cols>
  <sheetData>
    <row r="1" spans="1:15" s="5" customFormat="1" ht="18.75" x14ac:dyDescent="0.3">
      <c r="A1" s="7" t="s">
        <v>365</v>
      </c>
    </row>
    <row r="2" spans="1:15" ht="20.25" customHeight="1" x14ac:dyDescent="0.2">
      <c r="A2" s="12"/>
      <c r="B2" s="13" t="s">
        <v>77</v>
      </c>
      <c r="C2" s="12"/>
      <c r="D2" s="12"/>
      <c r="E2" s="12"/>
      <c r="F2" s="12"/>
      <c r="G2" s="12"/>
      <c r="H2" s="12"/>
    </row>
    <row r="3" spans="1:15" x14ac:dyDescent="0.2">
      <c r="A3" s="12"/>
      <c r="B3" s="12"/>
      <c r="C3" s="12"/>
      <c r="D3" s="12"/>
      <c r="E3" s="12"/>
      <c r="F3" s="12"/>
      <c r="G3" s="12"/>
      <c r="H3" s="12"/>
    </row>
    <row r="4" spans="1:15" x14ac:dyDescent="0.2">
      <c r="A4" s="14" t="s">
        <v>9</v>
      </c>
      <c r="B4" s="13" t="s">
        <v>76</v>
      </c>
      <c r="C4" s="21" t="s">
        <v>75</v>
      </c>
      <c r="D4" s="21" t="s">
        <v>74</v>
      </c>
      <c r="E4" s="21" t="s">
        <v>73</v>
      </c>
      <c r="F4" s="21" t="s">
        <v>72</v>
      </c>
      <c r="G4" s="21" t="s">
        <v>71</v>
      </c>
      <c r="H4" s="12"/>
    </row>
    <row r="5" spans="1:15" ht="22.5" customHeight="1" x14ac:dyDescent="0.2">
      <c r="A5" s="14"/>
      <c r="B5" s="12" t="s">
        <v>70</v>
      </c>
      <c r="C5" s="15">
        <v>0.28160244360902253</v>
      </c>
      <c r="D5" s="15">
        <v>-0.42560278207109742</v>
      </c>
      <c r="E5" s="15">
        <v>5.5510884051532657E-2</v>
      </c>
      <c r="F5" s="15">
        <v>9.9293099810086521E-2</v>
      </c>
      <c r="G5" s="15">
        <v>4.4306899357988969E-2</v>
      </c>
      <c r="H5" s="12"/>
      <c r="O5" s="12"/>
    </row>
    <row r="6" spans="1:15" x14ac:dyDescent="0.2">
      <c r="A6" s="14"/>
      <c r="B6" s="12" t="s">
        <v>69</v>
      </c>
      <c r="C6" s="19">
        <v>3.3874172185430464</v>
      </c>
      <c r="D6" s="19">
        <v>7.4961832061068705</v>
      </c>
      <c r="E6" s="19">
        <v>9.7023026315789469</v>
      </c>
      <c r="F6" s="19">
        <v>6.115677321156773</v>
      </c>
      <c r="G6" s="19">
        <v>3.594670406732118</v>
      </c>
      <c r="H6" s="12"/>
      <c r="J6" s="12"/>
      <c r="K6" s="12"/>
      <c r="L6" s="12"/>
      <c r="M6" s="12"/>
      <c r="N6" s="12"/>
      <c r="O6" s="12"/>
    </row>
    <row r="7" spans="1:15" x14ac:dyDescent="0.2">
      <c r="A7" s="14"/>
      <c r="B7" s="12" t="s">
        <v>68</v>
      </c>
      <c r="C7" s="19"/>
      <c r="D7" s="19">
        <v>2.4731942623306677</v>
      </c>
      <c r="E7" s="19">
        <v>4.0618945712315444</v>
      </c>
      <c r="F7" s="19">
        <v>2.282595920343431</v>
      </c>
      <c r="G7" s="19">
        <v>1.1480242563261125</v>
      </c>
      <c r="H7" s="12"/>
      <c r="J7" s="12"/>
      <c r="K7" s="12"/>
      <c r="L7" s="12"/>
      <c r="M7" s="12"/>
      <c r="N7" s="12"/>
      <c r="O7" s="12"/>
    </row>
    <row r="8" spans="1:15" ht="19.899999999999999" customHeight="1" x14ac:dyDescent="0.2">
      <c r="B8" s="20" t="s">
        <v>67</v>
      </c>
      <c r="C8" s="19"/>
      <c r="D8" s="19"/>
      <c r="E8" s="19"/>
      <c r="F8" s="19"/>
      <c r="G8" s="18"/>
      <c r="H8" s="12"/>
      <c r="J8" s="12"/>
      <c r="K8" s="12"/>
      <c r="L8" s="12"/>
      <c r="M8" s="12"/>
      <c r="N8" s="12"/>
      <c r="O8" s="12"/>
    </row>
    <row r="9" spans="1:15" ht="33" customHeight="1" x14ac:dyDescent="0.2">
      <c r="A9" s="14" t="s">
        <v>10</v>
      </c>
      <c r="B9" s="13" t="s">
        <v>66</v>
      </c>
      <c r="C9" s="12"/>
      <c r="D9" s="12"/>
      <c r="E9" s="12"/>
      <c r="F9" s="12"/>
      <c r="G9" s="12"/>
      <c r="H9" s="12"/>
      <c r="J9" s="12"/>
      <c r="K9" s="12"/>
      <c r="L9" s="12"/>
      <c r="M9" s="12"/>
      <c r="N9" s="12"/>
      <c r="O9" s="12"/>
    </row>
    <row r="10" spans="1:15" x14ac:dyDescent="0.2">
      <c r="A10" s="12"/>
      <c r="B10" s="13" t="s">
        <v>65</v>
      </c>
      <c r="C10" s="12"/>
      <c r="D10" s="12"/>
      <c r="E10" s="12"/>
      <c r="F10" s="12"/>
      <c r="G10" s="12"/>
      <c r="H10" s="12"/>
      <c r="J10" s="12"/>
      <c r="K10" s="12"/>
      <c r="L10" s="12"/>
      <c r="M10" s="12"/>
      <c r="N10" s="12"/>
      <c r="O10" s="12"/>
    </row>
    <row r="11" spans="1:15" ht="19.5" customHeight="1" x14ac:dyDescent="0.2">
      <c r="A11" s="12"/>
      <c r="B11" s="12" t="s">
        <v>64</v>
      </c>
      <c r="C11" s="15">
        <f>1-1/C6</f>
        <v>0.70478983382209193</v>
      </c>
      <c r="D11" s="15">
        <f>1-1/D6</f>
        <v>0.86659877800407337</v>
      </c>
      <c r="E11" s="15">
        <f>1-1/E6</f>
        <v>0.89693168333615869</v>
      </c>
      <c r="F11" s="15">
        <f>1-1/F6</f>
        <v>0.83648581383773024</v>
      </c>
      <c r="G11" s="15">
        <f>1-1/G6</f>
        <v>0.72181037846273899</v>
      </c>
      <c r="H11" s="12"/>
      <c r="I11" s="17"/>
      <c r="J11" s="17"/>
      <c r="K11" s="17"/>
      <c r="L11" s="17"/>
      <c r="M11" s="17"/>
      <c r="N11" s="12"/>
      <c r="O11" s="12"/>
    </row>
    <row r="12" spans="1:15" x14ac:dyDescent="0.2">
      <c r="A12" s="12"/>
      <c r="B12" s="12" t="s">
        <v>63</v>
      </c>
      <c r="C12" s="16" t="s">
        <v>62</v>
      </c>
      <c r="D12" s="15">
        <f>1-1/D7</f>
        <v>0.59566459649731329</v>
      </c>
      <c r="E12" s="15">
        <f>1-1/E7</f>
        <v>0.75380946441039565</v>
      </c>
      <c r="F12" s="15">
        <f>1-1/F7</f>
        <v>0.56190230995876678</v>
      </c>
      <c r="G12" s="15">
        <f>1-1/G7</f>
        <v>0.12893826546820286</v>
      </c>
      <c r="H12" s="12"/>
      <c r="J12" s="12"/>
      <c r="K12" s="12"/>
      <c r="L12" s="12"/>
      <c r="M12" s="12"/>
      <c r="N12" s="12"/>
      <c r="O12" s="12"/>
    </row>
    <row r="13" spans="1:15" x14ac:dyDescent="0.2">
      <c r="A13" s="12"/>
      <c r="B13" s="12"/>
      <c r="C13" s="12"/>
      <c r="D13" s="12"/>
      <c r="E13" s="12"/>
      <c r="F13" s="12"/>
      <c r="G13" s="12"/>
      <c r="H13" s="12"/>
      <c r="J13" s="12"/>
      <c r="K13" s="12"/>
      <c r="L13" s="12"/>
      <c r="M13" s="12"/>
      <c r="N13" s="12"/>
      <c r="O13" s="12"/>
    </row>
    <row r="14" spans="1:15" x14ac:dyDescent="0.2">
      <c r="A14" s="12"/>
      <c r="B14" s="12" t="s">
        <v>61</v>
      </c>
      <c r="C14" s="12"/>
      <c r="D14" s="12"/>
      <c r="E14" s="12"/>
      <c r="F14" s="12"/>
      <c r="G14" s="12"/>
      <c r="H14" s="12"/>
      <c r="J14" s="12"/>
      <c r="K14" s="12"/>
      <c r="L14" s="12"/>
      <c r="M14" s="12"/>
      <c r="N14" s="12"/>
      <c r="O14" s="12"/>
    </row>
    <row r="15" spans="1:15" x14ac:dyDescent="0.2">
      <c r="A15" s="12"/>
      <c r="B15" s="12" t="s">
        <v>60</v>
      </c>
      <c r="C15" s="12"/>
      <c r="D15" s="12"/>
      <c r="E15" s="12"/>
      <c r="F15" s="12"/>
      <c r="G15" s="12"/>
      <c r="H15" s="12"/>
      <c r="J15" s="12"/>
      <c r="K15" s="12"/>
      <c r="L15" s="12"/>
      <c r="M15" s="12"/>
      <c r="N15" s="12"/>
      <c r="O15" s="12"/>
    </row>
    <row r="16" spans="1:15" x14ac:dyDescent="0.2">
      <c r="A16" s="12"/>
      <c r="B16" s="12" t="s">
        <v>59</v>
      </c>
      <c r="C16" s="12"/>
      <c r="D16" s="12"/>
      <c r="E16" s="12"/>
      <c r="F16" s="12"/>
      <c r="G16" s="12"/>
      <c r="H16" s="12"/>
      <c r="J16" s="12"/>
      <c r="K16" s="12"/>
      <c r="L16" s="12"/>
      <c r="M16" s="12"/>
      <c r="N16" s="12"/>
      <c r="O16" s="12"/>
    </row>
    <row r="17" spans="1:15" x14ac:dyDescent="0.2">
      <c r="A17" s="12"/>
      <c r="B17" s="12" t="s">
        <v>58</v>
      </c>
      <c r="C17" s="12"/>
      <c r="D17" s="12"/>
      <c r="E17" s="12"/>
      <c r="F17" s="12"/>
      <c r="G17" s="12"/>
      <c r="H17" s="12"/>
      <c r="J17" s="12"/>
      <c r="K17" s="12"/>
      <c r="L17" s="12"/>
      <c r="M17" s="12"/>
      <c r="N17" s="12"/>
      <c r="O17" s="12"/>
    </row>
    <row r="18" spans="1:15" ht="22.15" customHeight="1" x14ac:dyDescent="0.2">
      <c r="A18" s="14" t="s">
        <v>57</v>
      </c>
      <c r="B18" s="13" t="s">
        <v>56</v>
      </c>
      <c r="C18" s="12"/>
      <c r="D18" s="12"/>
      <c r="E18" s="12"/>
      <c r="F18" s="12"/>
      <c r="G18" s="12"/>
      <c r="H18" s="12"/>
    </row>
    <row r="19" spans="1:15" x14ac:dyDescent="0.2">
      <c r="A19" s="12"/>
      <c r="B19" s="12" t="s">
        <v>55</v>
      </c>
      <c r="C19" s="12"/>
      <c r="D19" s="12"/>
      <c r="E19" s="12"/>
      <c r="F19" s="12"/>
      <c r="G19" s="12"/>
      <c r="H19" s="12"/>
    </row>
    <row r="20" spans="1:15" x14ac:dyDescent="0.2">
      <c r="A20" s="12"/>
      <c r="B20" s="12" t="s">
        <v>54</v>
      </c>
      <c r="C20" s="12"/>
      <c r="D20" s="12"/>
      <c r="E20" s="12"/>
      <c r="F20" s="12"/>
      <c r="G20" s="12"/>
      <c r="H20" s="12"/>
    </row>
    <row r="21" spans="1:15" x14ac:dyDescent="0.2">
      <c r="A21" s="12"/>
      <c r="B21" s="12" t="s">
        <v>53</v>
      </c>
      <c r="C21" s="12"/>
      <c r="D21" s="12"/>
      <c r="E21" s="12"/>
      <c r="F21" s="12"/>
      <c r="G21" s="12"/>
      <c r="H21" s="12"/>
    </row>
    <row r="22" spans="1:15" x14ac:dyDescent="0.2">
      <c r="A22" s="12"/>
      <c r="B22" s="12" t="s">
        <v>52</v>
      </c>
      <c r="C22" s="12"/>
      <c r="D22" s="12"/>
      <c r="E22" s="12"/>
      <c r="F22" s="12"/>
      <c r="G22" s="12"/>
      <c r="H22" s="12"/>
    </row>
    <row r="23" spans="1:15" x14ac:dyDescent="0.2">
      <c r="A23" s="12"/>
      <c r="B23" s="12" t="s">
        <v>51</v>
      </c>
      <c r="C23" s="12"/>
      <c r="D23" s="12"/>
      <c r="E23" s="12"/>
      <c r="F23" s="12"/>
      <c r="G23" s="12"/>
      <c r="H23" s="12"/>
    </row>
    <row r="24" spans="1:15" x14ac:dyDescent="0.2">
      <c r="A24" s="12"/>
      <c r="B24" s="12" t="s">
        <v>50</v>
      </c>
      <c r="C24" s="12"/>
      <c r="D24" s="12"/>
      <c r="E24" s="12"/>
      <c r="F24" s="12"/>
      <c r="G24" s="12"/>
      <c r="H24" s="12"/>
    </row>
  </sheetData>
  <phoneticPr fontId="39"/>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showGridLines="0" topLeftCell="A25" workbookViewId="0">
      <selection activeCell="B65" sqref="B65"/>
    </sheetView>
  </sheetViews>
  <sheetFormatPr defaultRowHeight="13.5" x14ac:dyDescent="0.15"/>
  <cols>
    <col min="1" max="1" width="9.28515625" style="23" customWidth="1"/>
    <col min="2" max="2" width="70.85546875" style="23" customWidth="1"/>
    <col min="3" max="3" width="13.5703125" style="23" customWidth="1"/>
    <col min="4" max="6" width="12.85546875" style="23" customWidth="1"/>
    <col min="7" max="7" width="10.85546875" style="23" customWidth="1"/>
    <col min="8" max="13" width="10.5703125" style="23" customWidth="1"/>
    <col min="14" max="256" width="8.7109375" style="23"/>
    <col min="257" max="257" width="9.28515625" style="23" customWidth="1"/>
    <col min="258" max="258" width="38.7109375" style="23" customWidth="1"/>
    <col min="259" max="259" width="13.5703125" style="23" customWidth="1"/>
    <col min="260" max="262" width="12.85546875" style="23" customWidth="1"/>
    <col min="263" max="263" width="10.85546875" style="23" customWidth="1"/>
    <col min="264" max="269" width="10.5703125" style="23" customWidth="1"/>
    <col min="270" max="512" width="8.7109375" style="23"/>
    <col min="513" max="513" width="9.28515625" style="23" customWidth="1"/>
    <col min="514" max="514" width="38.7109375" style="23" customWidth="1"/>
    <col min="515" max="515" width="13.5703125" style="23" customWidth="1"/>
    <col min="516" max="518" width="12.85546875" style="23" customWidth="1"/>
    <col min="519" max="519" width="10.85546875" style="23" customWidth="1"/>
    <col min="520" max="525" width="10.5703125" style="23" customWidth="1"/>
    <col min="526" max="768" width="8.7109375" style="23"/>
    <col min="769" max="769" width="9.28515625" style="23" customWidth="1"/>
    <col min="770" max="770" width="38.7109375" style="23" customWidth="1"/>
    <col min="771" max="771" width="13.5703125" style="23" customWidth="1"/>
    <col min="772" max="774" width="12.85546875" style="23" customWidth="1"/>
    <col min="775" max="775" width="10.85546875" style="23" customWidth="1"/>
    <col min="776" max="781" width="10.5703125" style="23" customWidth="1"/>
    <col min="782" max="1024" width="8.7109375" style="23"/>
    <col min="1025" max="1025" width="9.28515625" style="23" customWidth="1"/>
    <col min="1026" max="1026" width="38.7109375" style="23" customWidth="1"/>
    <col min="1027" max="1027" width="13.5703125" style="23" customWidth="1"/>
    <col min="1028" max="1030" width="12.85546875" style="23" customWidth="1"/>
    <col min="1031" max="1031" width="10.85546875" style="23" customWidth="1"/>
    <col min="1032" max="1037" width="10.5703125" style="23" customWidth="1"/>
    <col min="1038" max="1280" width="8.7109375" style="23"/>
    <col min="1281" max="1281" width="9.28515625" style="23" customWidth="1"/>
    <col min="1282" max="1282" width="38.7109375" style="23" customWidth="1"/>
    <col min="1283" max="1283" width="13.5703125" style="23" customWidth="1"/>
    <col min="1284" max="1286" width="12.85546875" style="23" customWidth="1"/>
    <col min="1287" max="1287" width="10.85546875" style="23" customWidth="1"/>
    <col min="1288" max="1293" width="10.5703125" style="23" customWidth="1"/>
    <col min="1294" max="1536" width="8.7109375" style="23"/>
    <col min="1537" max="1537" width="9.28515625" style="23" customWidth="1"/>
    <col min="1538" max="1538" width="38.7109375" style="23" customWidth="1"/>
    <col min="1539" max="1539" width="13.5703125" style="23" customWidth="1"/>
    <col min="1540" max="1542" width="12.85546875" style="23" customWidth="1"/>
    <col min="1543" max="1543" width="10.85546875" style="23" customWidth="1"/>
    <col min="1544" max="1549" width="10.5703125" style="23" customWidth="1"/>
    <col min="1550" max="1792" width="8.7109375" style="23"/>
    <col min="1793" max="1793" width="9.28515625" style="23" customWidth="1"/>
    <col min="1794" max="1794" width="38.7109375" style="23" customWidth="1"/>
    <col min="1795" max="1795" width="13.5703125" style="23" customWidth="1"/>
    <col min="1796" max="1798" width="12.85546875" style="23" customWidth="1"/>
    <col min="1799" max="1799" width="10.85546875" style="23" customWidth="1"/>
    <col min="1800" max="1805" width="10.5703125" style="23" customWidth="1"/>
    <col min="1806" max="2048" width="8.7109375" style="23"/>
    <col min="2049" max="2049" width="9.28515625" style="23" customWidth="1"/>
    <col min="2050" max="2050" width="38.7109375" style="23" customWidth="1"/>
    <col min="2051" max="2051" width="13.5703125" style="23" customWidth="1"/>
    <col min="2052" max="2054" width="12.85546875" style="23" customWidth="1"/>
    <col min="2055" max="2055" width="10.85546875" style="23" customWidth="1"/>
    <col min="2056" max="2061" width="10.5703125" style="23" customWidth="1"/>
    <col min="2062" max="2304" width="8.7109375" style="23"/>
    <col min="2305" max="2305" width="9.28515625" style="23" customWidth="1"/>
    <col min="2306" max="2306" width="38.7109375" style="23" customWidth="1"/>
    <col min="2307" max="2307" width="13.5703125" style="23" customWidth="1"/>
    <col min="2308" max="2310" width="12.85546875" style="23" customWidth="1"/>
    <col min="2311" max="2311" width="10.85546875" style="23" customWidth="1"/>
    <col min="2312" max="2317" width="10.5703125" style="23" customWidth="1"/>
    <col min="2318" max="2560" width="8.7109375" style="23"/>
    <col min="2561" max="2561" width="9.28515625" style="23" customWidth="1"/>
    <col min="2562" max="2562" width="38.7109375" style="23" customWidth="1"/>
    <col min="2563" max="2563" width="13.5703125" style="23" customWidth="1"/>
    <col min="2564" max="2566" width="12.85546875" style="23" customWidth="1"/>
    <col min="2567" max="2567" width="10.85546875" style="23" customWidth="1"/>
    <col min="2568" max="2573" width="10.5703125" style="23" customWidth="1"/>
    <col min="2574" max="2816" width="8.7109375" style="23"/>
    <col min="2817" max="2817" width="9.28515625" style="23" customWidth="1"/>
    <col min="2818" max="2818" width="38.7109375" style="23" customWidth="1"/>
    <col min="2819" max="2819" width="13.5703125" style="23" customWidth="1"/>
    <col min="2820" max="2822" width="12.85546875" style="23" customWidth="1"/>
    <col min="2823" max="2823" width="10.85546875" style="23" customWidth="1"/>
    <col min="2824" max="2829" width="10.5703125" style="23" customWidth="1"/>
    <col min="2830" max="3072" width="8.7109375" style="23"/>
    <col min="3073" max="3073" width="9.28515625" style="23" customWidth="1"/>
    <col min="3074" max="3074" width="38.7109375" style="23" customWidth="1"/>
    <col min="3075" max="3075" width="13.5703125" style="23" customWidth="1"/>
    <col min="3076" max="3078" width="12.85546875" style="23" customWidth="1"/>
    <col min="3079" max="3079" width="10.85546875" style="23" customWidth="1"/>
    <col min="3080" max="3085" width="10.5703125" style="23" customWidth="1"/>
    <col min="3086" max="3328" width="8.7109375" style="23"/>
    <col min="3329" max="3329" width="9.28515625" style="23" customWidth="1"/>
    <col min="3330" max="3330" width="38.7109375" style="23" customWidth="1"/>
    <col min="3331" max="3331" width="13.5703125" style="23" customWidth="1"/>
    <col min="3332" max="3334" width="12.85546875" style="23" customWidth="1"/>
    <col min="3335" max="3335" width="10.85546875" style="23" customWidth="1"/>
    <col min="3336" max="3341" width="10.5703125" style="23" customWidth="1"/>
    <col min="3342" max="3584" width="8.7109375" style="23"/>
    <col min="3585" max="3585" width="9.28515625" style="23" customWidth="1"/>
    <col min="3586" max="3586" width="38.7109375" style="23" customWidth="1"/>
    <col min="3587" max="3587" width="13.5703125" style="23" customWidth="1"/>
    <col min="3588" max="3590" width="12.85546875" style="23" customWidth="1"/>
    <col min="3591" max="3591" width="10.85546875" style="23" customWidth="1"/>
    <col min="3592" max="3597" width="10.5703125" style="23" customWidth="1"/>
    <col min="3598" max="3840" width="8.7109375" style="23"/>
    <col min="3841" max="3841" width="9.28515625" style="23" customWidth="1"/>
    <col min="3842" max="3842" width="38.7109375" style="23" customWidth="1"/>
    <col min="3843" max="3843" width="13.5703125" style="23" customWidth="1"/>
    <col min="3844" max="3846" width="12.85546875" style="23" customWidth="1"/>
    <col min="3847" max="3847" width="10.85546875" style="23" customWidth="1"/>
    <col min="3848" max="3853" width="10.5703125" style="23" customWidth="1"/>
    <col min="3854" max="4096" width="8.7109375" style="23"/>
    <col min="4097" max="4097" width="9.28515625" style="23" customWidth="1"/>
    <col min="4098" max="4098" width="38.7109375" style="23" customWidth="1"/>
    <col min="4099" max="4099" width="13.5703125" style="23" customWidth="1"/>
    <col min="4100" max="4102" width="12.85546875" style="23" customWidth="1"/>
    <col min="4103" max="4103" width="10.85546875" style="23" customWidth="1"/>
    <col min="4104" max="4109" width="10.5703125" style="23" customWidth="1"/>
    <col min="4110" max="4352" width="8.7109375" style="23"/>
    <col min="4353" max="4353" width="9.28515625" style="23" customWidth="1"/>
    <col min="4354" max="4354" width="38.7109375" style="23" customWidth="1"/>
    <col min="4355" max="4355" width="13.5703125" style="23" customWidth="1"/>
    <col min="4356" max="4358" width="12.85546875" style="23" customWidth="1"/>
    <col min="4359" max="4359" width="10.85546875" style="23" customWidth="1"/>
    <col min="4360" max="4365" width="10.5703125" style="23" customWidth="1"/>
    <col min="4366" max="4608" width="8.7109375" style="23"/>
    <col min="4609" max="4609" width="9.28515625" style="23" customWidth="1"/>
    <col min="4610" max="4610" width="38.7109375" style="23" customWidth="1"/>
    <col min="4611" max="4611" width="13.5703125" style="23" customWidth="1"/>
    <col min="4612" max="4614" width="12.85546875" style="23" customWidth="1"/>
    <col min="4615" max="4615" width="10.85546875" style="23" customWidth="1"/>
    <col min="4616" max="4621" width="10.5703125" style="23" customWidth="1"/>
    <col min="4622" max="4864" width="8.7109375" style="23"/>
    <col min="4865" max="4865" width="9.28515625" style="23" customWidth="1"/>
    <col min="4866" max="4866" width="38.7109375" style="23" customWidth="1"/>
    <col min="4867" max="4867" width="13.5703125" style="23" customWidth="1"/>
    <col min="4868" max="4870" width="12.85546875" style="23" customWidth="1"/>
    <col min="4871" max="4871" width="10.85546875" style="23" customWidth="1"/>
    <col min="4872" max="4877" width="10.5703125" style="23" customWidth="1"/>
    <col min="4878" max="5120" width="8.7109375" style="23"/>
    <col min="5121" max="5121" width="9.28515625" style="23" customWidth="1"/>
    <col min="5122" max="5122" width="38.7109375" style="23" customWidth="1"/>
    <col min="5123" max="5123" width="13.5703125" style="23" customWidth="1"/>
    <col min="5124" max="5126" width="12.85546875" style="23" customWidth="1"/>
    <col min="5127" max="5127" width="10.85546875" style="23" customWidth="1"/>
    <col min="5128" max="5133" width="10.5703125" style="23" customWidth="1"/>
    <col min="5134" max="5376" width="8.7109375" style="23"/>
    <col min="5377" max="5377" width="9.28515625" style="23" customWidth="1"/>
    <col min="5378" max="5378" width="38.7109375" style="23" customWidth="1"/>
    <col min="5379" max="5379" width="13.5703125" style="23" customWidth="1"/>
    <col min="5380" max="5382" width="12.85546875" style="23" customWidth="1"/>
    <col min="5383" max="5383" width="10.85546875" style="23" customWidth="1"/>
    <col min="5384" max="5389" width="10.5703125" style="23" customWidth="1"/>
    <col min="5390" max="5632" width="8.7109375" style="23"/>
    <col min="5633" max="5633" width="9.28515625" style="23" customWidth="1"/>
    <col min="5634" max="5634" width="38.7109375" style="23" customWidth="1"/>
    <col min="5635" max="5635" width="13.5703125" style="23" customWidth="1"/>
    <col min="5636" max="5638" width="12.85546875" style="23" customWidth="1"/>
    <col min="5639" max="5639" width="10.85546875" style="23" customWidth="1"/>
    <col min="5640" max="5645" width="10.5703125" style="23" customWidth="1"/>
    <col min="5646" max="5888" width="8.7109375" style="23"/>
    <col min="5889" max="5889" width="9.28515625" style="23" customWidth="1"/>
    <col min="5890" max="5890" width="38.7109375" style="23" customWidth="1"/>
    <col min="5891" max="5891" width="13.5703125" style="23" customWidth="1"/>
    <col min="5892" max="5894" width="12.85546875" style="23" customWidth="1"/>
    <col min="5895" max="5895" width="10.85546875" style="23" customWidth="1"/>
    <col min="5896" max="5901" width="10.5703125" style="23" customWidth="1"/>
    <col min="5902" max="6144" width="8.7109375" style="23"/>
    <col min="6145" max="6145" width="9.28515625" style="23" customWidth="1"/>
    <col min="6146" max="6146" width="38.7109375" style="23" customWidth="1"/>
    <col min="6147" max="6147" width="13.5703125" style="23" customWidth="1"/>
    <col min="6148" max="6150" width="12.85546875" style="23" customWidth="1"/>
    <col min="6151" max="6151" width="10.85546875" style="23" customWidth="1"/>
    <col min="6152" max="6157" width="10.5703125" style="23" customWidth="1"/>
    <col min="6158" max="6400" width="8.7109375" style="23"/>
    <col min="6401" max="6401" width="9.28515625" style="23" customWidth="1"/>
    <col min="6402" max="6402" width="38.7109375" style="23" customWidth="1"/>
    <col min="6403" max="6403" width="13.5703125" style="23" customWidth="1"/>
    <col min="6404" max="6406" width="12.85546875" style="23" customWidth="1"/>
    <col min="6407" max="6407" width="10.85546875" style="23" customWidth="1"/>
    <col min="6408" max="6413" width="10.5703125" style="23" customWidth="1"/>
    <col min="6414" max="6656" width="8.7109375" style="23"/>
    <col min="6657" max="6657" width="9.28515625" style="23" customWidth="1"/>
    <col min="6658" max="6658" width="38.7109375" style="23" customWidth="1"/>
    <col min="6659" max="6659" width="13.5703125" style="23" customWidth="1"/>
    <col min="6660" max="6662" width="12.85546875" style="23" customWidth="1"/>
    <col min="6663" max="6663" width="10.85546875" style="23" customWidth="1"/>
    <col min="6664" max="6669" width="10.5703125" style="23" customWidth="1"/>
    <col min="6670" max="6912" width="8.7109375" style="23"/>
    <col min="6913" max="6913" width="9.28515625" style="23" customWidth="1"/>
    <col min="6914" max="6914" width="38.7109375" style="23" customWidth="1"/>
    <col min="6915" max="6915" width="13.5703125" style="23" customWidth="1"/>
    <col min="6916" max="6918" width="12.85546875" style="23" customWidth="1"/>
    <col min="6919" max="6919" width="10.85546875" style="23" customWidth="1"/>
    <col min="6920" max="6925" width="10.5703125" style="23" customWidth="1"/>
    <col min="6926" max="7168" width="8.7109375" style="23"/>
    <col min="7169" max="7169" width="9.28515625" style="23" customWidth="1"/>
    <col min="7170" max="7170" width="38.7109375" style="23" customWidth="1"/>
    <col min="7171" max="7171" width="13.5703125" style="23" customWidth="1"/>
    <col min="7172" max="7174" width="12.85546875" style="23" customWidth="1"/>
    <col min="7175" max="7175" width="10.85546875" style="23" customWidth="1"/>
    <col min="7176" max="7181" width="10.5703125" style="23" customWidth="1"/>
    <col min="7182" max="7424" width="8.7109375" style="23"/>
    <col min="7425" max="7425" width="9.28515625" style="23" customWidth="1"/>
    <col min="7426" max="7426" width="38.7109375" style="23" customWidth="1"/>
    <col min="7427" max="7427" width="13.5703125" style="23" customWidth="1"/>
    <col min="7428" max="7430" width="12.85546875" style="23" customWidth="1"/>
    <col min="7431" max="7431" width="10.85546875" style="23" customWidth="1"/>
    <col min="7432" max="7437" width="10.5703125" style="23" customWidth="1"/>
    <col min="7438" max="7680" width="8.7109375" style="23"/>
    <col min="7681" max="7681" width="9.28515625" style="23" customWidth="1"/>
    <col min="7682" max="7682" width="38.7109375" style="23" customWidth="1"/>
    <col min="7683" max="7683" width="13.5703125" style="23" customWidth="1"/>
    <col min="7684" max="7686" width="12.85546875" style="23" customWidth="1"/>
    <col min="7687" max="7687" width="10.85546875" style="23" customWidth="1"/>
    <col min="7688" max="7693" width="10.5703125" style="23" customWidth="1"/>
    <col min="7694" max="7936" width="8.7109375" style="23"/>
    <col min="7937" max="7937" width="9.28515625" style="23" customWidth="1"/>
    <col min="7938" max="7938" width="38.7109375" style="23" customWidth="1"/>
    <col min="7939" max="7939" width="13.5703125" style="23" customWidth="1"/>
    <col min="7940" max="7942" width="12.85546875" style="23" customWidth="1"/>
    <col min="7943" max="7943" width="10.85546875" style="23" customWidth="1"/>
    <col min="7944" max="7949" width="10.5703125" style="23" customWidth="1"/>
    <col min="7950" max="8192" width="8.7109375" style="23"/>
    <col min="8193" max="8193" width="9.28515625" style="23" customWidth="1"/>
    <col min="8194" max="8194" width="38.7109375" style="23" customWidth="1"/>
    <col min="8195" max="8195" width="13.5703125" style="23" customWidth="1"/>
    <col min="8196" max="8198" width="12.85546875" style="23" customWidth="1"/>
    <col min="8199" max="8199" width="10.85546875" style="23" customWidth="1"/>
    <col min="8200" max="8205" width="10.5703125" style="23" customWidth="1"/>
    <col min="8206" max="8448" width="8.7109375" style="23"/>
    <col min="8449" max="8449" width="9.28515625" style="23" customWidth="1"/>
    <col min="8450" max="8450" width="38.7109375" style="23" customWidth="1"/>
    <col min="8451" max="8451" width="13.5703125" style="23" customWidth="1"/>
    <col min="8452" max="8454" width="12.85546875" style="23" customWidth="1"/>
    <col min="8455" max="8455" width="10.85546875" style="23" customWidth="1"/>
    <col min="8456" max="8461" width="10.5703125" style="23" customWidth="1"/>
    <col min="8462" max="8704" width="8.7109375" style="23"/>
    <col min="8705" max="8705" width="9.28515625" style="23" customWidth="1"/>
    <col min="8706" max="8706" width="38.7109375" style="23" customWidth="1"/>
    <col min="8707" max="8707" width="13.5703125" style="23" customWidth="1"/>
    <col min="8708" max="8710" width="12.85546875" style="23" customWidth="1"/>
    <col min="8711" max="8711" width="10.85546875" style="23" customWidth="1"/>
    <col min="8712" max="8717" width="10.5703125" style="23" customWidth="1"/>
    <col min="8718" max="8960" width="8.7109375" style="23"/>
    <col min="8961" max="8961" width="9.28515625" style="23" customWidth="1"/>
    <col min="8962" max="8962" width="38.7109375" style="23" customWidth="1"/>
    <col min="8963" max="8963" width="13.5703125" style="23" customWidth="1"/>
    <col min="8964" max="8966" width="12.85546875" style="23" customWidth="1"/>
    <col min="8967" max="8967" width="10.85546875" style="23" customWidth="1"/>
    <col min="8968" max="8973" width="10.5703125" style="23" customWidth="1"/>
    <col min="8974" max="9216" width="8.7109375" style="23"/>
    <col min="9217" max="9217" width="9.28515625" style="23" customWidth="1"/>
    <col min="9218" max="9218" width="38.7109375" style="23" customWidth="1"/>
    <col min="9219" max="9219" width="13.5703125" style="23" customWidth="1"/>
    <col min="9220" max="9222" width="12.85546875" style="23" customWidth="1"/>
    <col min="9223" max="9223" width="10.85546875" style="23" customWidth="1"/>
    <col min="9224" max="9229" width="10.5703125" style="23" customWidth="1"/>
    <col min="9230" max="9472" width="8.7109375" style="23"/>
    <col min="9473" max="9473" width="9.28515625" style="23" customWidth="1"/>
    <col min="9474" max="9474" width="38.7109375" style="23" customWidth="1"/>
    <col min="9475" max="9475" width="13.5703125" style="23" customWidth="1"/>
    <col min="9476" max="9478" width="12.85546875" style="23" customWidth="1"/>
    <col min="9479" max="9479" width="10.85546875" style="23" customWidth="1"/>
    <col min="9480" max="9485" width="10.5703125" style="23" customWidth="1"/>
    <col min="9486" max="9728" width="8.7109375" style="23"/>
    <col min="9729" max="9729" width="9.28515625" style="23" customWidth="1"/>
    <col min="9730" max="9730" width="38.7109375" style="23" customWidth="1"/>
    <col min="9731" max="9731" width="13.5703125" style="23" customWidth="1"/>
    <col min="9732" max="9734" width="12.85546875" style="23" customWidth="1"/>
    <col min="9735" max="9735" width="10.85546875" style="23" customWidth="1"/>
    <col min="9736" max="9741" width="10.5703125" style="23" customWidth="1"/>
    <col min="9742" max="9984" width="8.7109375" style="23"/>
    <col min="9985" max="9985" width="9.28515625" style="23" customWidth="1"/>
    <col min="9986" max="9986" width="38.7109375" style="23" customWidth="1"/>
    <col min="9987" max="9987" width="13.5703125" style="23" customWidth="1"/>
    <col min="9988" max="9990" width="12.85546875" style="23" customWidth="1"/>
    <col min="9991" max="9991" width="10.85546875" style="23" customWidth="1"/>
    <col min="9992" max="9997" width="10.5703125" style="23" customWidth="1"/>
    <col min="9998" max="10240" width="8.7109375" style="23"/>
    <col min="10241" max="10241" width="9.28515625" style="23" customWidth="1"/>
    <col min="10242" max="10242" width="38.7109375" style="23" customWidth="1"/>
    <col min="10243" max="10243" width="13.5703125" style="23" customWidth="1"/>
    <col min="10244" max="10246" width="12.85546875" style="23" customWidth="1"/>
    <col min="10247" max="10247" width="10.85546875" style="23" customWidth="1"/>
    <col min="10248" max="10253" width="10.5703125" style="23" customWidth="1"/>
    <col min="10254" max="10496" width="8.7109375" style="23"/>
    <col min="10497" max="10497" width="9.28515625" style="23" customWidth="1"/>
    <col min="10498" max="10498" width="38.7109375" style="23" customWidth="1"/>
    <col min="10499" max="10499" width="13.5703125" style="23" customWidth="1"/>
    <col min="10500" max="10502" width="12.85546875" style="23" customWidth="1"/>
    <col min="10503" max="10503" width="10.85546875" style="23" customWidth="1"/>
    <col min="10504" max="10509" width="10.5703125" style="23" customWidth="1"/>
    <col min="10510" max="10752" width="8.7109375" style="23"/>
    <col min="10753" max="10753" width="9.28515625" style="23" customWidth="1"/>
    <col min="10754" max="10754" width="38.7109375" style="23" customWidth="1"/>
    <col min="10755" max="10755" width="13.5703125" style="23" customWidth="1"/>
    <col min="10756" max="10758" width="12.85546875" style="23" customWidth="1"/>
    <col min="10759" max="10759" width="10.85546875" style="23" customWidth="1"/>
    <col min="10760" max="10765" width="10.5703125" style="23" customWidth="1"/>
    <col min="10766" max="11008" width="8.7109375" style="23"/>
    <col min="11009" max="11009" width="9.28515625" style="23" customWidth="1"/>
    <col min="11010" max="11010" width="38.7109375" style="23" customWidth="1"/>
    <col min="11011" max="11011" width="13.5703125" style="23" customWidth="1"/>
    <col min="11012" max="11014" width="12.85546875" style="23" customWidth="1"/>
    <col min="11015" max="11015" width="10.85546875" style="23" customWidth="1"/>
    <col min="11016" max="11021" width="10.5703125" style="23" customWidth="1"/>
    <col min="11022" max="11264" width="8.7109375" style="23"/>
    <col min="11265" max="11265" width="9.28515625" style="23" customWidth="1"/>
    <col min="11266" max="11266" width="38.7109375" style="23" customWidth="1"/>
    <col min="11267" max="11267" width="13.5703125" style="23" customWidth="1"/>
    <col min="11268" max="11270" width="12.85546875" style="23" customWidth="1"/>
    <col min="11271" max="11271" width="10.85546875" style="23" customWidth="1"/>
    <col min="11272" max="11277" width="10.5703125" style="23" customWidth="1"/>
    <col min="11278" max="11520" width="8.7109375" style="23"/>
    <col min="11521" max="11521" width="9.28515625" style="23" customWidth="1"/>
    <col min="11522" max="11522" width="38.7109375" style="23" customWidth="1"/>
    <col min="11523" max="11523" width="13.5703125" style="23" customWidth="1"/>
    <col min="11524" max="11526" width="12.85546875" style="23" customWidth="1"/>
    <col min="11527" max="11527" width="10.85546875" style="23" customWidth="1"/>
    <col min="11528" max="11533" width="10.5703125" style="23" customWidth="1"/>
    <col min="11534" max="11776" width="8.7109375" style="23"/>
    <col min="11777" max="11777" width="9.28515625" style="23" customWidth="1"/>
    <col min="11778" max="11778" width="38.7109375" style="23" customWidth="1"/>
    <col min="11779" max="11779" width="13.5703125" style="23" customWidth="1"/>
    <col min="11780" max="11782" width="12.85546875" style="23" customWidth="1"/>
    <col min="11783" max="11783" width="10.85546875" style="23" customWidth="1"/>
    <col min="11784" max="11789" width="10.5703125" style="23" customWidth="1"/>
    <col min="11790" max="12032" width="8.7109375" style="23"/>
    <col min="12033" max="12033" width="9.28515625" style="23" customWidth="1"/>
    <col min="12034" max="12034" width="38.7109375" style="23" customWidth="1"/>
    <col min="12035" max="12035" width="13.5703125" style="23" customWidth="1"/>
    <col min="12036" max="12038" width="12.85546875" style="23" customWidth="1"/>
    <col min="12039" max="12039" width="10.85546875" style="23" customWidth="1"/>
    <col min="12040" max="12045" width="10.5703125" style="23" customWidth="1"/>
    <col min="12046" max="12288" width="8.7109375" style="23"/>
    <col min="12289" max="12289" width="9.28515625" style="23" customWidth="1"/>
    <col min="12290" max="12290" width="38.7109375" style="23" customWidth="1"/>
    <col min="12291" max="12291" width="13.5703125" style="23" customWidth="1"/>
    <col min="12292" max="12294" width="12.85546875" style="23" customWidth="1"/>
    <col min="12295" max="12295" width="10.85546875" style="23" customWidth="1"/>
    <col min="12296" max="12301" width="10.5703125" style="23" customWidth="1"/>
    <col min="12302" max="12544" width="8.7109375" style="23"/>
    <col min="12545" max="12545" width="9.28515625" style="23" customWidth="1"/>
    <col min="12546" max="12546" width="38.7109375" style="23" customWidth="1"/>
    <col min="12547" max="12547" width="13.5703125" style="23" customWidth="1"/>
    <col min="12548" max="12550" width="12.85546875" style="23" customWidth="1"/>
    <col min="12551" max="12551" width="10.85546875" style="23" customWidth="1"/>
    <col min="12552" max="12557" width="10.5703125" style="23" customWidth="1"/>
    <col min="12558" max="12800" width="8.7109375" style="23"/>
    <col min="12801" max="12801" width="9.28515625" style="23" customWidth="1"/>
    <col min="12802" max="12802" width="38.7109375" style="23" customWidth="1"/>
    <col min="12803" max="12803" width="13.5703125" style="23" customWidth="1"/>
    <col min="12804" max="12806" width="12.85546875" style="23" customWidth="1"/>
    <col min="12807" max="12807" width="10.85546875" style="23" customWidth="1"/>
    <col min="12808" max="12813" width="10.5703125" style="23" customWidth="1"/>
    <col min="12814" max="13056" width="8.7109375" style="23"/>
    <col min="13057" max="13057" width="9.28515625" style="23" customWidth="1"/>
    <col min="13058" max="13058" width="38.7109375" style="23" customWidth="1"/>
    <col min="13059" max="13059" width="13.5703125" style="23" customWidth="1"/>
    <col min="13060" max="13062" width="12.85546875" style="23" customWidth="1"/>
    <col min="13063" max="13063" width="10.85546875" style="23" customWidth="1"/>
    <col min="13064" max="13069" width="10.5703125" style="23" customWidth="1"/>
    <col min="13070" max="13312" width="8.7109375" style="23"/>
    <col min="13313" max="13313" width="9.28515625" style="23" customWidth="1"/>
    <col min="13314" max="13314" width="38.7109375" style="23" customWidth="1"/>
    <col min="13315" max="13315" width="13.5703125" style="23" customWidth="1"/>
    <col min="13316" max="13318" width="12.85546875" style="23" customWidth="1"/>
    <col min="13319" max="13319" width="10.85546875" style="23" customWidth="1"/>
    <col min="13320" max="13325" width="10.5703125" style="23" customWidth="1"/>
    <col min="13326" max="13568" width="8.7109375" style="23"/>
    <col min="13569" max="13569" width="9.28515625" style="23" customWidth="1"/>
    <col min="13570" max="13570" width="38.7109375" style="23" customWidth="1"/>
    <col min="13571" max="13571" width="13.5703125" style="23" customWidth="1"/>
    <col min="13572" max="13574" width="12.85546875" style="23" customWidth="1"/>
    <col min="13575" max="13575" width="10.85546875" style="23" customWidth="1"/>
    <col min="13576" max="13581" width="10.5703125" style="23" customWidth="1"/>
    <col min="13582" max="13824" width="8.7109375" style="23"/>
    <col min="13825" max="13825" width="9.28515625" style="23" customWidth="1"/>
    <col min="13826" max="13826" width="38.7109375" style="23" customWidth="1"/>
    <col min="13827" max="13827" width="13.5703125" style="23" customWidth="1"/>
    <col min="13828" max="13830" width="12.85546875" style="23" customWidth="1"/>
    <col min="13831" max="13831" width="10.85546875" style="23" customWidth="1"/>
    <col min="13832" max="13837" width="10.5703125" style="23" customWidth="1"/>
    <col min="13838" max="14080" width="8.7109375" style="23"/>
    <col min="14081" max="14081" width="9.28515625" style="23" customWidth="1"/>
    <col min="14082" max="14082" width="38.7109375" style="23" customWidth="1"/>
    <col min="14083" max="14083" width="13.5703125" style="23" customWidth="1"/>
    <col min="14084" max="14086" width="12.85546875" style="23" customWidth="1"/>
    <col min="14087" max="14087" width="10.85546875" style="23" customWidth="1"/>
    <col min="14088" max="14093" width="10.5703125" style="23" customWidth="1"/>
    <col min="14094" max="14336" width="8.7109375" style="23"/>
    <col min="14337" max="14337" width="9.28515625" style="23" customWidth="1"/>
    <col min="14338" max="14338" width="38.7109375" style="23" customWidth="1"/>
    <col min="14339" max="14339" width="13.5703125" style="23" customWidth="1"/>
    <col min="14340" max="14342" width="12.85546875" style="23" customWidth="1"/>
    <col min="14343" max="14343" width="10.85546875" style="23" customWidth="1"/>
    <col min="14344" max="14349" width="10.5703125" style="23" customWidth="1"/>
    <col min="14350" max="14592" width="8.7109375" style="23"/>
    <col min="14593" max="14593" width="9.28515625" style="23" customWidth="1"/>
    <col min="14594" max="14594" width="38.7109375" style="23" customWidth="1"/>
    <col min="14595" max="14595" width="13.5703125" style="23" customWidth="1"/>
    <col min="14596" max="14598" width="12.85546875" style="23" customWidth="1"/>
    <col min="14599" max="14599" width="10.85546875" style="23" customWidth="1"/>
    <col min="14600" max="14605" width="10.5703125" style="23" customWidth="1"/>
    <col min="14606" max="14848" width="8.7109375" style="23"/>
    <col min="14849" max="14849" width="9.28515625" style="23" customWidth="1"/>
    <col min="14850" max="14850" width="38.7109375" style="23" customWidth="1"/>
    <col min="14851" max="14851" width="13.5703125" style="23" customWidth="1"/>
    <col min="14852" max="14854" width="12.85546875" style="23" customWidth="1"/>
    <col min="14855" max="14855" width="10.85546875" style="23" customWidth="1"/>
    <col min="14856" max="14861" width="10.5703125" style="23" customWidth="1"/>
    <col min="14862" max="15104" width="8.7109375" style="23"/>
    <col min="15105" max="15105" width="9.28515625" style="23" customWidth="1"/>
    <col min="15106" max="15106" width="38.7109375" style="23" customWidth="1"/>
    <col min="15107" max="15107" width="13.5703125" style="23" customWidth="1"/>
    <col min="15108" max="15110" width="12.85546875" style="23" customWidth="1"/>
    <col min="15111" max="15111" width="10.85546875" style="23" customWidth="1"/>
    <col min="15112" max="15117" width="10.5703125" style="23" customWidth="1"/>
    <col min="15118" max="15360" width="8.7109375" style="23"/>
    <col min="15361" max="15361" width="9.28515625" style="23" customWidth="1"/>
    <col min="15362" max="15362" width="38.7109375" style="23" customWidth="1"/>
    <col min="15363" max="15363" width="13.5703125" style="23" customWidth="1"/>
    <col min="15364" max="15366" width="12.85546875" style="23" customWidth="1"/>
    <col min="15367" max="15367" width="10.85546875" style="23" customWidth="1"/>
    <col min="15368" max="15373" width="10.5703125" style="23" customWidth="1"/>
    <col min="15374" max="15616" width="8.7109375" style="23"/>
    <col min="15617" max="15617" width="9.28515625" style="23" customWidth="1"/>
    <col min="15618" max="15618" width="38.7109375" style="23" customWidth="1"/>
    <col min="15619" max="15619" width="13.5703125" style="23" customWidth="1"/>
    <col min="15620" max="15622" width="12.85546875" style="23" customWidth="1"/>
    <col min="15623" max="15623" width="10.85546875" style="23" customWidth="1"/>
    <col min="15624" max="15629" width="10.5703125" style="23" customWidth="1"/>
    <col min="15630" max="15872" width="8.7109375" style="23"/>
    <col min="15873" max="15873" width="9.28515625" style="23" customWidth="1"/>
    <col min="15874" max="15874" width="38.7109375" style="23" customWidth="1"/>
    <col min="15875" max="15875" width="13.5703125" style="23" customWidth="1"/>
    <col min="15876" max="15878" width="12.85546875" style="23" customWidth="1"/>
    <col min="15879" max="15879" width="10.85546875" style="23" customWidth="1"/>
    <col min="15880" max="15885" width="10.5703125" style="23" customWidth="1"/>
    <col min="15886" max="16128" width="8.7109375" style="23"/>
    <col min="16129" max="16129" width="9.28515625" style="23" customWidth="1"/>
    <col min="16130" max="16130" width="38.7109375" style="23" customWidth="1"/>
    <col min="16131" max="16131" width="13.5703125" style="23" customWidth="1"/>
    <col min="16132" max="16134" width="12.85546875" style="23" customWidth="1"/>
    <col min="16135" max="16135" width="10.85546875" style="23" customWidth="1"/>
    <col min="16136" max="16141" width="10.5703125" style="23" customWidth="1"/>
    <col min="16142" max="16384" width="8.7109375" style="23"/>
  </cols>
  <sheetData>
    <row r="1" spans="1:12" s="137" customFormat="1" ht="18.75" x14ac:dyDescent="0.3">
      <c r="A1" s="24" t="s">
        <v>350</v>
      </c>
      <c r="C1" s="180"/>
      <c r="H1" s="179"/>
      <c r="I1" s="179"/>
      <c r="J1" s="179"/>
      <c r="K1" s="179"/>
      <c r="L1" s="179"/>
    </row>
    <row r="2" spans="1:12" ht="21" customHeight="1" x14ac:dyDescent="0.25">
      <c r="A2" s="157"/>
      <c r="B2" s="216" t="s">
        <v>289</v>
      </c>
      <c r="C2" s="157"/>
      <c r="D2" s="157"/>
      <c r="E2" s="157"/>
      <c r="F2" s="157"/>
      <c r="G2" s="157"/>
      <c r="H2" s="157"/>
      <c r="I2" s="157"/>
      <c r="J2" s="157"/>
    </row>
    <row r="3" spans="1:12" ht="19.5" customHeight="1" x14ac:dyDescent="0.2">
      <c r="A3" s="157"/>
      <c r="B3" s="309" t="s">
        <v>222</v>
      </c>
      <c r="C3" s="309"/>
      <c r="D3" s="157"/>
      <c r="E3" s="157"/>
      <c r="F3" s="157"/>
      <c r="G3" s="157"/>
      <c r="H3" s="157"/>
      <c r="I3" s="157"/>
      <c r="J3" s="157"/>
    </row>
    <row r="4" spans="1:12" ht="19.5" customHeight="1" x14ac:dyDescent="0.25">
      <c r="A4" s="157"/>
      <c r="B4" s="143" t="s">
        <v>221</v>
      </c>
      <c r="C4" s="190">
        <v>20000</v>
      </c>
      <c r="D4" s="143"/>
      <c r="E4" s="143"/>
      <c r="F4" s="143"/>
      <c r="G4" s="143"/>
      <c r="H4" s="143"/>
      <c r="I4" s="143"/>
      <c r="J4" s="143"/>
    </row>
    <row r="5" spans="1:12" ht="15" x14ac:dyDescent="0.25">
      <c r="A5" s="215"/>
      <c r="B5" s="143" t="s">
        <v>220</v>
      </c>
      <c r="C5" s="190">
        <v>300000</v>
      </c>
      <c r="D5" s="143"/>
      <c r="E5" s="143"/>
      <c r="F5" s="143"/>
      <c r="G5" s="143"/>
      <c r="H5" s="143"/>
      <c r="I5" s="143"/>
      <c r="J5" s="143"/>
    </row>
    <row r="6" spans="1:12" ht="15" x14ac:dyDescent="0.25">
      <c r="A6" s="157"/>
      <c r="B6" s="143" t="s">
        <v>219</v>
      </c>
      <c r="C6" s="190">
        <v>350000</v>
      </c>
      <c r="D6" s="143"/>
      <c r="E6" s="143"/>
      <c r="F6" s="143"/>
      <c r="G6" s="143"/>
      <c r="H6" s="143"/>
      <c r="I6" s="143"/>
      <c r="J6" s="143"/>
    </row>
    <row r="7" spans="1:12" ht="12.75" customHeight="1" x14ac:dyDescent="0.25">
      <c r="A7" s="157"/>
      <c r="B7" s="143" t="s">
        <v>206</v>
      </c>
      <c r="C7" s="214" t="s">
        <v>218</v>
      </c>
      <c r="D7" s="143"/>
      <c r="E7" s="143"/>
      <c r="F7" s="143"/>
      <c r="G7" s="143"/>
      <c r="H7" s="143"/>
      <c r="I7" s="143"/>
      <c r="J7" s="143"/>
    </row>
    <row r="8" spans="1:12" ht="15" x14ac:dyDescent="0.25">
      <c r="A8" s="157"/>
      <c r="B8" s="143" t="s">
        <v>205</v>
      </c>
      <c r="C8" s="213">
        <v>0</v>
      </c>
      <c r="D8" s="143"/>
      <c r="E8" s="143"/>
      <c r="F8" s="143"/>
      <c r="G8" s="143"/>
      <c r="H8" s="143"/>
      <c r="I8" s="143"/>
      <c r="J8" s="143"/>
    </row>
    <row r="9" spans="1:12" ht="15" x14ac:dyDescent="0.25">
      <c r="A9" s="157"/>
      <c r="B9" s="143" t="s">
        <v>217</v>
      </c>
      <c r="C9" s="212" t="s">
        <v>216</v>
      </c>
      <c r="D9" s="143"/>
      <c r="E9" s="143"/>
      <c r="F9" s="143"/>
      <c r="G9" s="143"/>
      <c r="H9" s="143"/>
      <c r="I9" s="143"/>
      <c r="J9" s="143"/>
    </row>
    <row r="10" spans="1:12" ht="15" x14ac:dyDescent="0.25">
      <c r="A10" s="157"/>
      <c r="B10" s="143" t="s">
        <v>215</v>
      </c>
      <c r="C10" s="190">
        <v>130000</v>
      </c>
      <c r="D10" s="143"/>
      <c r="E10" s="143"/>
      <c r="F10" s="143"/>
      <c r="G10" s="143"/>
      <c r="H10" s="143"/>
      <c r="I10" s="143"/>
      <c r="J10" s="143"/>
    </row>
    <row r="11" spans="1:12" ht="15" x14ac:dyDescent="0.25">
      <c r="A11" s="157"/>
      <c r="B11" s="143" t="s">
        <v>288</v>
      </c>
      <c r="C11" s="190">
        <v>800000</v>
      </c>
      <c r="D11" s="143"/>
      <c r="E11" s="143"/>
      <c r="F11" s="143"/>
      <c r="G11" s="143"/>
      <c r="H11" s="143"/>
      <c r="I11" s="143"/>
      <c r="J11" s="143"/>
    </row>
    <row r="12" spans="1:12" ht="15" x14ac:dyDescent="0.25">
      <c r="A12" s="157"/>
      <c r="B12" s="143" t="s">
        <v>214</v>
      </c>
      <c r="C12" s="190">
        <v>200000</v>
      </c>
      <c r="D12" s="143"/>
      <c r="E12" s="143"/>
      <c r="F12" s="143"/>
      <c r="G12" s="143"/>
      <c r="H12" s="143"/>
      <c r="I12" s="143"/>
      <c r="J12" s="143"/>
    </row>
    <row r="13" spans="1:12" ht="15" x14ac:dyDescent="0.25">
      <c r="A13" s="157"/>
      <c r="B13" s="143" t="s">
        <v>213</v>
      </c>
      <c r="C13" s="190"/>
      <c r="D13" s="143"/>
      <c r="E13" s="143"/>
      <c r="F13" s="143"/>
      <c r="G13" s="143"/>
      <c r="H13" s="143"/>
      <c r="I13" s="143"/>
      <c r="J13" s="143"/>
    </row>
    <row r="14" spans="1:12" ht="15.75" customHeight="1" x14ac:dyDescent="0.25">
      <c r="A14" s="157"/>
      <c r="B14" s="143" t="s">
        <v>212</v>
      </c>
      <c r="C14" s="190">
        <v>80000</v>
      </c>
      <c r="D14" s="143"/>
      <c r="E14" s="143"/>
      <c r="F14" s="143"/>
      <c r="G14" s="143"/>
      <c r="H14" s="143"/>
      <c r="I14" s="143"/>
      <c r="J14" s="143"/>
    </row>
    <row r="15" spans="1:12" ht="12.75" customHeight="1" x14ac:dyDescent="0.25">
      <c r="A15" s="157"/>
      <c r="B15" s="143" t="s">
        <v>211</v>
      </c>
      <c r="C15" s="190">
        <v>200000</v>
      </c>
      <c r="D15" s="143"/>
      <c r="E15" s="143"/>
      <c r="F15" s="143"/>
      <c r="G15" s="143"/>
      <c r="H15" s="143"/>
      <c r="I15" s="143"/>
      <c r="J15" s="143"/>
    </row>
    <row r="16" spans="1:12" ht="15" x14ac:dyDescent="0.25">
      <c r="A16" s="157"/>
      <c r="B16" s="143" t="s">
        <v>210</v>
      </c>
      <c r="C16" s="190">
        <v>190000</v>
      </c>
      <c r="D16" s="143"/>
      <c r="E16" s="143"/>
      <c r="F16" s="143"/>
      <c r="G16" s="143"/>
      <c r="H16" s="143"/>
      <c r="I16" s="143"/>
      <c r="J16" s="143"/>
    </row>
    <row r="17" spans="1:10" ht="12.75" customHeight="1" x14ac:dyDescent="0.25">
      <c r="A17" s="157"/>
      <c r="B17" s="143" t="s">
        <v>102</v>
      </c>
      <c r="C17" s="210">
        <v>0.4</v>
      </c>
      <c r="D17" s="143"/>
      <c r="E17" s="143"/>
      <c r="F17" s="143"/>
      <c r="G17" s="143"/>
      <c r="H17" s="143"/>
      <c r="I17" s="143"/>
      <c r="J17" s="143"/>
    </row>
    <row r="18" spans="1:10" ht="12.75" customHeight="1" x14ac:dyDescent="0.25">
      <c r="A18" s="157"/>
      <c r="B18" s="143" t="s">
        <v>209</v>
      </c>
      <c r="C18" s="211">
        <v>7.4999999999999997E-2</v>
      </c>
      <c r="D18" s="143"/>
      <c r="E18" s="143"/>
      <c r="F18" s="143"/>
      <c r="G18" s="143"/>
      <c r="H18" s="143"/>
      <c r="I18" s="143"/>
      <c r="J18" s="143"/>
    </row>
    <row r="19" spans="1:10" ht="12.75" customHeight="1" x14ac:dyDescent="0.25">
      <c r="A19" s="157"/>
      <c r="B19" s="143" t="s">
        <v>208</v>
      </c>
      <c r="C19" s="210">
        <v>0.1</v>
      </c>
      <c r="E19" s="143"/>
      <c r="F19" s="143"/>
      <c r="G19" s="143"/>
      <c r="H19" s="143"/>
      <c r="I19" s="143"/>
      <c r="J19" s="143"/>
    </row>
    <row r="20" spans="1:10" ht="20.25" customHeight="1" x14ac:dyDescent="0.25">
      <c r="A20" s="157"/>
      <c r="B20" s="143" t="s">
        <v>207</v>
      </c>
      <c r="C20" s="210"/>
      <c r="D20" s="143"/>
      <c r="E20" s="143"/>
      <c r="F20" s="143"/>
      <c r="G20" s="143"/>
      <c r="H20" s="143"/>
      <c r="I20" s="143"/>
      <c r="J20" s="143"/>
    </row>
    <row r="21" spans="1:10" ht="21.75" customHeight="1" x14ac:dyDescent="0.25">
      <c r="A21" s="143" t="s">
        <v>287</v>
      </c>
      <c r="B21" s="143"/>
      <c r="C21" s="143"/>
      <c r="D21" s="143"/>
      <c r="E21" s="143"/>
      <c r="F21" s="143"/>
      <c r="G21" s="143"/>
      <c r="H21" s="143"/>
      <c r="I21" s="143"/>
      <c r="J21" s="143"/>
    </row>
    <row r="22" spans="1:10" ht="18" customHeight="1" x14ac:dyDescent="0.25">
      <c r="A22" s="157"/>
      <c r="B22" s="310" t="s">
        <v>286</v>
      </c>
      <c r="C22" s="310"/>
      <c r="D22" s="310"/>
      <c r="E22" s="310"/>
      <c r="F22" s="310"/>
      <c r="G22" s="310"/>
      <c r="H22" s="310"/>
      <c r="I22" s="310"/>
      <c r="J22" s="310"/>
    </row>
    <row r="23" spans="1:10" ht="19.5" customHeight="1" x14ac:dyDescent="0.25">
      <c r="A23" s="157"/>
      <c r="B23" s="310" t="s">
        <v>285</v>
      </c>
      <c r="C23" s="310"/>
      <c r="D23" s="310"/>
      <c r="E23" s="310"/>
      <c r="F23" s="310"/>
      <c r="G23" s="310"/>
      <c r="H23" s="310"/>
      <c r="I23" s="310"/>
      <c r="J23" s="310"/>
    </row>
    <row r="24" spans="1:10" ht="45.75" customHeight="1" x14ac:dyDescent="0.25">
      <c r="A24" s="157"/>
      <c r="B24" s="310" t="s">
        <v>284</v>
      </c>
      <c r="C24" s="310"/>
      <c r="D24" s="310"/>
      <c r="E24" s="310"/>
      <c r="F24" s="310"/>
      <c r="G24" s="310"/>
      <c r="H24" s="310"/>
      <c r="I24" s="310"/>
      <c r="J24" s="209"/>
    </row>
    <row r="25" spans="1:10" ht="32.25" customHeight="1" x14ac:dyDescent="0.25">
      <c r="A25" s="157"/>
      <c r="B25" s="310" t="s">
        <v>283</v>
      </c>
      <c r="C25" s="310"/>
      <c r="D25" s="310"/>
      <c r="E25" s="310"/>
      <c r="F25" s="310"/>
      <c r="G25" s="310"/>
      <c r="H25" s="310"/>
      <c r="I25" s="310"/>
      <c r="J25" s="209"/>
    </row>
    <row r="26" spans="1:10" ht="15" x14ac:dyDescent="0.25">
      <c r="A26" s="157"/>
      <c r="B26" s="203"/>
      <c r="C26" s="309" t="s">
        <v>222</v>
      </c>
      <c r="D26" s="309"/>
      <c r="E26" s="309"/>
      <c r="F26" s="309"/>
      <c r="G26" s="203"/>
      <c r="H26" s="203"/>
      <c r="I26" s="203"/>
      <c r="J26" s="203"/>
    </row>
    <row r="27" spans="1:10" ht="18.75" customHeight="1" x14ac:dyDescent="0.25">
      <c r="A27" s="157"/>
      <c r="B27" s="203" t="s">
        <v>282</v>
      </c>
      <c r="C27" s="157"/>
      <c r="D27" s="208"/>
      <c r="E27" s="201" t="s">
        <v>281</v>
      </c>
      <c r="F27" s="207"/>
      <c r="G27" s="206"/>
      <c r="H27" s="203"/>
      <c r="I27" s="203"/>
      <c r="J27" s="157"/>
    </row>
    <row r="28" spans="1:10" ht="15" x14ac:dyDescent="0.25">
      <c r="A28" s="157"/>
      <c r="B28" s="157"/>
      <c r="C28" s="201">
        <v>0</v>
      </c>
      <c r="D28" s="201">
        <v>1</v>
      </c>
      <c r="E28" s="201">
        <v>2</v>
      </c>
      <c r="F28" s="201">
        <v>3</v>
      </c>
      <c r="G28" s="203"/>
      <c r="H28" s="203"/>
      <c r="I28" s="203"/>
      <c r="J28" s="203"/>
    </row>
    <row r="29" spans="1:10" ht="15" x14ac:dyDescent="0.25">
      <c r="A29" s="157"/>
      <c r="B29" s="205" t="s">
        <v>280</v>
      </c>
      <c r="C29" s="204">
        <f>C18*C12</f>
        <v>15000</v>
      </c>
      <c r="D29" s="204">
        <f>$C$18*-D44</f>
        <v>15000</v>
      </c>
      <c r="E29" s="204">
        <f>$C$18*-E44</f>
        <v>15000</v>
      </c>
      <c r="F29" s="199">
        <v>0</v>
      </c>
      <c r="G29" s="203"/>
      <c r="H29" s="203"/>
      <c r="I29" s="203"/>
      <c r="J29" s="203"/>
    </row>
    <row r="30" spans="1:10" ht="15" x14ac:dyDescent="0.25">
      <c r="A30" s="157"/>
      <c r="B30" s="205" t="s">
        <v>279</v>
      </c>
      <c r="C30" s="204">
        <f>C29-0</f>
        <v>15000</v>
      </c>
      <c r="D30" s="199">
        <f>D29-C29</f>
        <v>0</v>
      </c>
      <c r="E30" s="199">
        <f>E29-D29</f>
        <v>0</v>
      </c>
      <c r="F30" s="204">
        <f>F29-E29</f>
        <v>-15000</v>
      </c>
      <c r="G30" s="203"/>
      <c r="H30" s="203"/>
      <c r="I30" s="203"/>
      <c r="J30" s="203"/>
    </row>
    <row r="31" spans="1:10" ht="15" x14ac:dyDescent="0.25">
      <c r="A31" s="157"/>
      <c r="B31" s="203"/>
      <c r="C31" s="203"/>
      <c r="D31" s="203"/>
      <c r="E31" s="203"/>
      <c r="F31" s="203"/>
      <c r="G31" s="203"/>
      <c r="H31" s="203"/>
      <c r="I31" s="203"/>
      <c r="J31" s="203"/>
    </row>
    <row r="32" spans="1:10" ht="15" x14ac:dyDescent="0.25">
      <c r="A32" s="197" t="s">
        <v>278</v>
      </c>
      <c r="B32" s="202"/>
      <c r="C32" s="202"/>
      <c r="D32" s="202"/>
      <c r="E32" s="157"/>
      <c r="F32" s="157"/>
      <c r="G32" s="157"/>
      <c r="H32" s="157"/>
      <c r="I32" s="157"/>
      <c r="J32" s="157"/>
    </row>
    <row r="33" spans="1:10" ht="15" x14ac:dyDescent="0.25">
      <c r="A33" s="143"/>
      <c r="B33" s="157"/>
      <c r="C33" s="143"/>
      <c r="D33" s="143"/>
      <c r="E33" s="143"/>
      <c r="F33" s="143"/>
      <c r="G33" s="143"/>
      <c r="H33" s="143"/>
      <c r="I33" s="143"/>
      <c r="J33" s="143"/>
    </row>
    <row r="34" spans="1:10" ht="15" x14ac:dyDescent="0.25">
      <c r="A34" s="197"/>
      <c r="B34" s="197"/>
      <c r="C34" s="307" t="s">
        <v>96</v>
      </c>
      <c r="D34" s="308"/>
      <c r="E34" s="308"/>
      <c r="F34" s="308"/>
      <c r="G34" s="197"/>
      <c r="H34" s="143"/>
      <c r="I34" s="143"/>
      <c r="J34" s="143"/>
    </row>
    <row r="35" spans="1:10" ht="15" x14ac:dyDescent="0.25">
      <c r="A35" s="197"/>
      <c r="B35" s="157"/>
      <c r="C35" s="201">
        <v>0</v>
      </c>
      <c r="D35" s="201">
        <v>1</v>
      </c>
      <c r="E35" s="201">
        <v>2</v>
      </c>
      <c r="F35" s="201">
        <v>3</v>
      </c>
      <c r="G35" s="197"/>
      <c r="H35" s="143"/>
      <c r="I35" s="143"/>
      <c r="J35" s="143"/>
    </row>
    <row r="36" spans="1:10" ht="13.5" customHeight="1" x14ac:dyDescent="0.25">
      <c r="A36" s="197"/>
      <c r="B36" s="191" t="s">
        <v>277</v>
      </c>
      <c r="C36" s="190">
        <f>-C5</f>
        <v>-300000</v>
      </c>
      <c r="D36" s="143"/>
      <c r="E36" s="143"/>
      <c r="F36" s="190">
        <v>126000</v>
      </c>
      <c r="G36" s="197"/>
      <c r="H36" s="143"/>
      <c r="I36" s="143"/>
      <c r="J36" s="143"/>
    </row>
    <row r="37" spans="1:10" ht="13.5" customHeight="1" x14ac:dyDescent="0.25">
      <c r="A37" s="197"/>
      <c r="B37" s="191" t="s">
        <v>276</v>
      </c>
      <c r="C37" s="194">
        <f>-C6*(1-C17)</f>
        <v>-210000</v>
      </c>
      <c r="D37" s="194"/>
      <c r="E37" s="194"/>
      <c r="F37" s="200"/>
      <c r="G37" s="197"/>
      <c r="H37" s="143"/>
      <c r="I37" s="143"/>
      <c r="J37" s="143"/>
    </row>
    <row r="38" spans="1:10" ht="13.5" customHeight="1" x14ac:dyDescent="0.25">
      <c r="A38" s="197"/>
      <c r="B38" s="191" t="s">
        <v>275</v>
      </c>
      <c r="C38" s="194">
        <f>-C16*(1-C17)</f>
        <v>-114000</v>
      </c>
      <c r="D38" s="194"/>
      <c r="E38" s="194"/>
      <c r="F38" s="200"/>
      <c r="G38" s="197"/>
      <c r="H38" s="143"/>
      <c r="I38" s="143"/>
      <c r="J38" s="143"/>
    </row>
    <row r="39" spans="1:10" ht="13.5" customHeight="1" x14ac:dyDescent="0.25">
      <c r="A39" s="186"/>
      <c r="B39" s="191" t="s">
        <v>274</v>
      </c>
      <c r="C39" s="193">
        <f>-C30</f>
        <v>-15000</v>
      </c>
      <c r="D39" s="193">
        <f>-D30</f>
        <v>0</v>
      </c>
      <c r="E39" s="193">
        <f>-E30</f>
        <v>0</v>
      </c>
      <c r="F39" s="193">
        <f>-F30</f>
        <v>15000</v>
      </c>
      <c r="G39" s="186"/>
      <c r="H39" s="143"/>
      <c r="I39" s="157"/>
      <c r="J39" s="157"/>
    </row>
    <row r="40" spans="1:10" ht="13.5" customHeight="1" x14ac:dyDescent="0.25">
      <c r="A40" s="197"/>
      <c r="B40" s="195" t="s">
        <v>273</v>
      </c>
      <c r="C40" s="190">
        <f>SUM(C36:C39)</f>
        <v>-639000</v>
      </c>
      <c r="D40" s="199">
        <f>SUM(D36:D39)</f>
        <v>0</v>
      </c>
      <c r="E40" s="199">
        <f>SUM(E36:E39)</f>
        <v>0</v>
      </c>
      <c r="F40" s="157"/>
      <c r="G40" s="197"/>
      <c r="H40" s="143"/>
      <c r="I40" s="143"/>
      <c r="J40" s="143"/>
    </row>
    <row r="41" spans="1:10" ht="13.5" customHeight="1" x14ac:dyDescent="0.25">
      <c r="A41" s="197"/>
      <c r="B41" s="195" t="s">
        <v>272</v>
      </c>
      <c r="C41" s="190"/>
      <c r="D41" s="190"/>
      <c r="E41" s="190"/>
      <c r="F41" s="190">
        <f>SUM(F36:F39)</f>
        <v>141000</v>
      </c>
      <c r="G41" s="197"/>
      <c r="H41" s="143"/>
      <c r="I41" s="143"/>
      <c r="J41" s="143"/>
    </row>
    <row r="42" spans="1:10" ht="13.5" customHeight="1" x14ac:dyDescent="0.25">
      <c r="A42" s="197"/>
      <c r="B42" s="191"/>
      <c r="C42" s="190"/>
      <c r="D42" s="143"/>
      <c r="E42" s="143"/>
      <c r="F42" s="198"/>
      <c r="G42" s="197"/>
      <c r="H42" s="143"/>
      <c r="I42" s="143"/>
      <c r="J42" s="143"/>
    </row>
    <row r="43" spans="1:10" ht="13.5" customHeight="1" x14ac:dyDescent="0.25">
      <c r="A43" s="186"/>
      <c r="B43" s="191" t="s">
        <v>8</v>
      </c>
      <c r="C43" s="143"/>
      <c r="D43" s="190">
        <f>$C$11</f>
        <v>800000</v>
      </c>
      <c r="E43" s="190">
        <f>$C$11</f>
        <v>800000</v>
      </c>
      <c r="F43" s="190">
        <f>$C$11</f>
        <v>800000</v>
      </c>
      <c r="G43" s="186"/>
      <c r="H43" s="143"/>
      <c r="I43" s="157"/>
      <c r="J43" s="157"/>
    </row>
    <row r="44" spans="1:10" ht="13.5" customHeight="1" x14ac:dyDescent="0.25">
      <c r="A44" s="186"/>
      <c r="B44" s="195" t="s">
        <v>271</v>
      </c>
      <c r="C44" s="194"/>
      <c r="D44" s="193">
        <f>-$C$12</f>
        <v>-200000</v>
      </c>
      <c r="E44" s="193">
        <f>-$C$12</f>
        <v>-200000</v>
      </c>
      <c r="F44" s="193">
        <f>-$C$12</f>
        <v>-200000</v>
      </c>
      <c r="G44" s="192"/>
      <c r="H44" s="143"/>
      <c r="I44" s="157"/>
      <c r="J44" s="157"/>
    </row>
    <row r="45" spans="1:10" ht="13.5" customHeight="1" x14ac:dyDescent="0.25">
      <c r="A45" s="186"/>
      <c r="B45" s="191" t="s">
        <v>19</v>
      </c>
      <c r="C45" s="194"/>
      <c r="D45" s="194">
        <f>SUM(D43:D44)</f>
        <v>600000</v>
      </c>
      <c r="E45" s="194">
        <f>SUM(E43:E44)</f>
        <v>600000</v>
      </c>
      <c r="F45" s="194">
        <f>SUM(F43:F44)</f>
        <v>600000</v>
      </c>
      <c r="G45" s="192"/>
      <c r="H45" s="143"/>
      <c r="I45" s="157"/>
      <c r="J45" s="157"/>
    </row>
    <row r="46" spans="1:10" ht="13.5" customHeight="1" x14ac:dyDescent="0.25">
      <c r="A46" s="186"/>
      <c r="B46" s="195" t="s">
        <v>270</v>
      </c>
      <c r="C46" s="194"/>
      <c r="D46" s="193">
        <f>-$C$14</f>
        <v>-80000</v>
      </c>
      <c r="E46" s="193">
        <f>-$C$14</f>
        <v>-80000</v>
      </c>
      <c r="F46" s="193">
        <f>-$C$14</f>
        <v>-80000</v>
      </c>
      <c r="G46" s="192"/>
      <c r="H46" s="143"/>
      <c r="I46" s="157"/>
      <c r="J46" s="157"/>
    </row>
    <row r="47" spans="1:10" ht="13.5" customHeight="1" x14ac:dyDescent="0.25">
      <c r="A47" s="186"/>
      <c r="B47" s="185" t="s">
        <v>269</v>
      </c>
      <c r="C47" s="196"/>
      <c r="D47" s="194">
        <f>SUM(D45:D46)</f>
        <v>520000</v>
      </c>
      <c r="E47" s="194">
        <f>SUM(E45:E46)</f>
        <v>520000</v>
      </c>
      <c r="F47" s="194">
        <f>SUM(F45:F46)</f>
        <v>520000</v>
      </c>
      <c r="G47" s="192"/>
      <c r="H47" s="143"/>
      <c r="I47" s="157"/>
      <c r="J47" s="157"/>
    </row>
    <row r="48" spans="1:10" ht="13.5" customHeight="1" x14ac:dyDescent="0.25">
      <c r="A48" s="186"/>
      <c r="B48" s="195" t="s">
        <v>159</v>
      </c>
      <c r="C48" s="194"/>
      <c r="D48" s="193">
        <f>-$C$5/5</f>
        <v>-60000</v>
      </c>
      <c r="E48" s="193">
        <f>-$C$5/5</f>
        <v>-60000</v>
      </c>
      <c r="F48" s="193">
        <f>-$C$5/5</f>
        <v>-60000</v>
      </c>
      <c r="G48" s="192"/>
      <c r="H48" s="143"/>
      <c r="I48" s="157"/>
      <c r="J48" s="157"/>
    </row>
    <row r="49" spans="1:10" ht="13.5" customHeight="1" x14ac:dyDescent="0.25">
      <c r="A49" s="186"/>
      <c r="B49" s="191" t="s">
        <v>194</v>
      </c>
      <c r="C49" s="194"/>
      <c r="D49" s="194">
        <f>SUM(D47:D48)</f>
        <v>460000</v>
      </c>
      <c r="E49" s="194">
        <f>SUM(E47:E48)</f>
        <v>460000</v>
      </c>
      <c r="F49" s="194">
        <f>SUM(F47:F48)</f>
        <v>460000</v>
      </c>
      <c r="G49" s="192"/>
      <c r="H49" s="143"/>
      <c r="I49" s="157"/>
      <c r="J49" s="157"/>
    </row>
    <row r="50" spans="1:10" ht="13.5" customHeight="1" x14ac:dyDescent="0.25">
      <c r="A50" s="186"/>
      <c r="B50" s="195" t="s">
        <v>268</v>
      </c>
      <c r="C50" s="194"/>
      <c r="D50" s="193">
        <f>-0.4*D49</f>
        <v>-184000</v>
      </c>
      <c r="E50" s="193">
        <f>-0.4*E49</f>
        <v>-184000</v>
      </c>
      <c r="F50" s="193">
        <f>-0.4*F49</f>
        <v>-184000</v>
      </c>
      <c r="G50" s="192"/>
      <c r="H50" s="143"/>
      <c r="I50" s="157"/>
      <c r="J50" s="157"/>
    </row>
    <row r="51" spans="1:10" ht="13.5" customHeight="1" x14ac:dyDescent="0.25">
      <c r="A51" s="186"/>
      <c r="B51" s="191" t="s">
        <v>158</v>
      </c>
      <c r="C51" s="194"/>
      <c r="D51" s="194">
        <f>SUM(D49:D50)</f>
        <v>276000</v>
      </c>
      <c r="E51" s="194">
        <f>SUM(E49:E50)</f>
        <v>276000</v>
      </c>
      <c r="F51" s="194">
        <f>SUM(F49:F50)</f>
        <v>276000</v>
      </c>
      <c r="G51" s="192"/>
      <c r="H51" s="143"/>
      <c r="I51" s="157"/>
      <c r="J51" s="157"/>
    </row>
    <row r="52" spans="1:10" ht="13.5" customHeight="1" x14ac:dyDescent="0.25">
      <c r="A52" s="186"/>
      <c r="B52" s="195" t="s">
        <v>7</v>
      </c>
      <c r="C52" s="194"/>
      <c r="D52" s="193">
        <f>-D48</f>
        <v>60000</v>
      </c>
      <c r="E52" s="193">
        <f>-E48</f>
        <v>60000</v>
      </c>
      <c r="F52" s="193">
        <f>-F48</f>
        <v>60000</v>
      </c>
      <c r="G52" s="192"/>
      <c r="H52" s="143"/>
      <c r="I52" s="157"/>
      <c r="J52" s="157"/>
    </row>
    <row r="53" spans="1:10" ht="15" x14ac:dyDescent="0.25">
      <c r="A53" s="157"/>
      <c r="B53" s="185" t="s">
        <v>267</v>
      </c>
      <c r="C53" s="143"/>
      <c r="D53" s="190">
        <f>SUM(D51:D52)</f>
        <v>336000</v>
      </c>
      <c r="E53" s="190">
        <f>SUM(E51:E52)</f>
        <v>336000</v>
      </c>
      <c r="F53" s="190">
        <f>SUM(F51:F52)</f>
        <v>336000</v>
      </c>
      <c r="G53" s="157"/>
      <c r="H53" s="143"/>
      <c r="I53" s="157"/>
      <c r="J53" s="157"/>
    </row>
    <row r="54" spans="1:10" ht="15" x14ac:dyDescent="0.25">
      <c r="A54" s="157"/>
      <c r="B54" s="157"/>
      <c r="C54" s="143"/>
      <c r="D54" s="190"/>
      <c r="E54" s="190"/>
      <c r="F54" s="190"/>
      <c r="G54" s="157"/>
      <c r="H54" s="143"/>
      <c r="I54" s="157"/>
      <c r="J54" s="157"/>
    </row>
    <row r="55" spans="1:10" ht="13.5" customHeight="1" x14ac:dyDescent="0.25">
      <c r="A55" s="186"/>
      <c r="B55" s="191" t="s">
        <v>266</v>
      </c>
      <c r="C55" s="190">
        <f>C40+C53</f>
        <v>-639000</v>
      </c>
      <c r="D55" s="190">
        <f>D40+D53</f>
        <v>336000</v>
      </c>
      <c r="E55" s="190">
        <f>E40+E53</f>
        <v>336000</v>
      </c>
      <c r="F55" s="190">
        <f>F41+F53</f>
        <v>477000</v>
      </c>
      <c r="G55" s="186"/>
      <c r="H55" s="143"/>
      <c r="I55" s="157"/>
      <c r="J55" s="157"/>
    </row>
    <row r="56" spans="1:10" ht="13.5" customHeight="1" x14ac:dyDescent="0.25">
      <c r="A56" s="186"/>
      <c r="B56" s="191"/>
      <c r="C56" s="143"/>
      <c r="D56" s="190"/>
      <c r="E56" s="190"/>
      <c r="F56" s="190"/>
      <c r="G56" s="186"/>
      <c r="H56" s="143"/>
      <c r="I56" s="157"/>
      <c r="J56" s="157"/>
    </row>
    <row r="57" spans="1:10" ht="18" customHeight="1" x14ac:dyDescent="0.25">
      <c r="A57" s="157"/>
      <c r="B57" s="185" t="s">
        <v>265</v>
      </c>
      <c r="C57" s="189">
        <f>(C55+NPV(C19,D55:F55))/1000</f>
        <v>302.51765589782104</v>
      </c>
      <c r="D57" s="188" t="s">
        <v>264</v>
      </c>
      <c r="E57" s="157"/>
      <c r="F57" s="157"/>
      <c r="G57" s="157"/>
      <c r="H57" s="157"/>
      <c r="I57" s="157"/>
      <c r="J57" s="157"/>
    </row>
    <row r="58" spans="1:10" ht="17.25" customHeight="1" x14ac:dyDescent="0.2">
      <c r="A58" s="186"/>
      <c r="B58" s="185" t="s">
        <v>263</v>
      </c>
      <c r="C58" s="187">
        <f>NPV(C19,D55:F55)/-C55</f>
        <v>1.4734235616554321</v>
      </c>
      <c r="D58" s="186"/>
      <c r="E58" s="186"/>
      <c r="F58" s="186"/>
      <c r="G58" s="186"/>
      <c r="H58" s="157"/>
      <c r="I58" s="157"/>
      <c r="J58" s="157"/>
    </row>
    <row r="59" spans="1:10" ht="18.75" customHeight="1" x14ac:dyDescent="0.2">
      <c r="A59" s="157"/>
      <c r="B59" s="185" t="s">
        <v>193</v>
      </c>
      <c r="C59" s="184">
        <f>IRR(C55:F55)</f>
        <v>0.33684403072581537</v>
      </c>
      <c r="D59" s="157"/>
      <c r="E59" s="157"/>
      <c r="F59" s="157"/>
      <c r="G59" s="157"/>
      <c r="H59" s="157"/>
      <c r="I59" s="157"/>
      <c r="J59" s="157"/>
    </row>
    <row r="60" spans="1:10" s="183" customFormat="1" ht="12.75" customHeight="1" x14ac:dyDescent="0.2"/>
    <row r="61" spans="1:10" s="183" customFormat="1" ht="12.75" x14ac:dyDescent="0.2"/>
    <row r="62" spans="1:10" s="183" customFormat="1" ht="12.75" x14ac:dyDescent="0.2"/>
    <row r="63" spans="1:10" s="183" customFormat="1" ht="12.75" customHeight="1" x14ac:dyDescent="0.2"/>
    <row r="64" spans="1:10" s="183" customFormat="1" ht="12.75" x14ac:dyDescent="0.2"/>
    <row r="65" s="183" customFormat="1" ht="12.75" customHeight="1" x14ac:dyDescent="0.2"/>
    <row r="66" s="183" customFormat="1" ht="12.75" customHeight="1" x14ac:dyDescent="0.2"/>
    <row r="67" s="183" customFormat="1" ht="12.75" customHeight="1" x14ac:dyDescent="0.2"/>
    <row r="68" s="183" customFormat="1" ht="12.75" customHeight="1" x14ac:dyDescent="0.2"/>
    <row r="69" s="183" customFormat="1" ht="12.75" x14ac:dyDescent="0.2"/>
    <row r="70" s="183" customFormat="1" ht="12.75" x14ac:dyDescent="0.2"/>
    <row r="71" s="183" customFormat="1" ht="12.75" x14ac:dyDescent="0.2"/>
    <row r="72" s="183" customFormat="1" ht="12.75" x14ac:dyDescent="0.2"/>
    <row r="73" s="183" customFormat="1" ht="12.75" x14ac:dyDescent="0.2"/>
    <row r="74" s="183" customFormat="1" ht="12.75" x14ac:dyDescent="0.2"/>
    <row r="75" s="183" customFormat="1" ht="12.75" x14ac:dyDescent="0.2"/>
    <row r="76" s="183" customFormat="1" ht="12.75" x14ac:dyDescent="0.2"/>
    <row r="77" s="183" customFormat="1" ht="12.75" x14ac:dyDescent="0.2"/>
    <row r="78" s="183" customFormat="1" ht="12.75" x14ac:dyDescent="0.2"/>
    <row r="79" s="183" customFormat="1" ht="12.75" x14ac:dyDescent="0.2"/>
    <row r="80" s="183" customFormat="1" ht="12.75" x14ac:dyDescent="0.2"/>
    <row r="81" s="183" customFormat="1" ht="12.75" x14ac:dyDescent="0.2"/>
    <row r="82" s="183" customFormat="1" ht="12.75" x14ac:dyDescent="0.2"/>
    <row r="83" s="183" customFormat="1" ht="12.75" x14ac:dyDescent="0.2"/>
    <row r="84" s="183" customFormat="1" ht="12.75" x14ac:dyDescent="0.2"/>
    <row r="85" s="183" customFormat="1" ht="12.75" x14ac:dyDescent="0.2"/>
    <row r="86" s="183" customFormat="1" ht="12.75" x14ac:dyDescent="0.2"/>
    <row r="87" s="183" customFormat="1" ht="12.75" x14ac:dyDescent="0.2"/>
    <row r="88" s="183" customFormat="1" ht="12.75" x14ac:dyDescent="0.2"/>
  </sheetData>
  <mergeCells count="7">
    <mergeCell ref="C34:F34"/>
    <mergeCell ref="B3:C3"/>
    <mergeCell ref="B22:J22"/>
    <mergeCell ref="B23:J23"/>
    <mergeCell ref="B24:I24"/>
    <mergeCell ref="B25:I25"/>
    <mergeCell ref="C26:F26"/>
  </mergeCells>
  <phoneticPr fontId="39"/>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30" sqref="A30"/>
    </sheetView>
  </sheetViews>
  <sheetFormatPr defaultColWidth="8.7109375" defaultRowHeight="13.5" x14ac:dyDescent="0.15"/>
  <cols>
    <col min="1" max="1" width="8.7109375" style="23"/>
    <col min="2" max="2" width="55.140625" style="23" customWidth="1"/>
    <col min="3" max="3" width="14.85546875" style="23" bestFit="1" customWidth="1"/>
    <col min="4" max="4" width="14.140625" style="23" customWidth="1"/>
    <col min="5" max="6" width="12.28515625" style="23" customWidth="1"/>
    <col min="7" max="16384" width="8.7109375" style="23"/>
  </cols>
  <sheetData>
    <row r="1" spans="1:7" ht="18.75" x14ac:dyDescent="0.3">
      <c r="A1" s="24" t="s">
        <v>383</v>
      </c>
      <c r="B1" s="137"/>
      <c r="C1" s="180"/>
      <c r="D1" s="137"/>
      <c r="E1" s="137"/>
      <c r="F1" s="137"/>
    </row>
    <row r="2" spans="1:7" ht="19.5" x14ac:dyDescent="0.35">
      <c r="A2" s="218"/>
      <c r="B2" s="256"/>
      <c r="C2" s="218"/>
      <c r="D2" s="218"/>
      <c r="E2" s="218"/>
      <c r="F2" s="218"/>
      <c r="G2" s="218"/>
    </row>
    <row r="3" spans="1:7" ht="18.75" x14ac:dyDescent="0.3">
      <c r="A3" s="218"/>
      <c r="B3" s="240" t="s">
        <v>108</v>
      </c>
      <c r="C3" s="238"/>
      <c r="D3" s="237"/>
      <c r="E3" s="228"/>
      <c r="F3" s="228"/>
      <c r="G3" s="218"/>
    </row>
    <row r="4" spans="1:7" ht="18.75" x14ac:dyDescent="0.3">
      <c r="A4" s="255"/>
      <c r="B4" s="250" t="s">
        <v>297</v>
      </c>
      <c r="C4" s="254">
        <v>4.5400000000000003E-2</v>
      </c>
      <c r="D4" s="230"/>
      <c r="E4" s="228"/>
      <c r="F4" s="228"/>
      <c r="G4" s="218"/>
    </row>
    <row r="5" spans="1:7" ht="18.75" x14ac:dyDescent="0.3">
      <c r="A5" s="218"/>
      <c r="B5" s="250" t="s">
        <v>296</v>
      </c>
      <c r="C5" s="254">
        <v>6.3200000000000006E-2</v>
      </c>
      <c r="D5" s="230"/>
      <c r="E5" s="228"/>
      <c r="F5" s="228"/>
      <c r="G5" s="218"/>
    </row>
    <row r="6" spans="1:7" ht="18.75" x14ac:dyDescent="0.3">
      <c r="A6" s="218"/>
      <c r="B6" s="250" t="s">
        <v>295</v>
      </c>
      <c r="C6" s="254">
        <v>7.4999999999999997E-2</v>
      </c>
      <c r="D6" s="230"/>
      <c r="E6" s="228"/>
      <c r="F6" s="228"/>
      <c r="G6" s="218"/>
    </row>
    <row r="7" spans="1:7" ht="18.75" x14ac:dyDescent="0.3">
      <c r="A7" s="218"/>
      <c r="B7" s="250" t="s">
        <v>308</v>
      </c>
      <c r="C7" s="254">
        <v>6.3E-2</v>
      </c>
      <c r="D7" s="230"/>
      <c r="E7" s="228"/>
      <c r="F7" s="228"/>
      <c r="G7" s="218"/>
    </row>
    <row r="8" spans="1:7" ht="18.75" x14ac:dyDescent="0.3">
      <c r="A8" s="218"/>
      <c r="B8" s="250" t="s">
        <v>294</v>
      </c>
      <c r="C8" s="253">
        <v>1.05</v>
      </c>
      <c r="D8" s="230"/>
      <c r="E8" s="228"/>
      <c r="F8" s="228"/>
      <c r="G8" s="218"/>
    </row>
    <row r="9" spans="1:7" ht="18.75" x14ac:dyDescent="0.3">
      <c r="A9" s="218"/>
      <c r="B9" s="250" t="s">
        <v>293</v>
      </c>
      <c r="C9" s="252">
        <v>25.97</v>
      </c>
      <c r="D9" s="230"/>
      <c r="E9" s="228"/>
      <c r="F9" s="228"/>
      <c r="G9" s="218"/>
    </row>
    <row r="10" spans="1:7" ht="18.75" x14ac:dyDescent="0.3">
      <c r="A10" s="218"/>
      <c r="B10" s="250" t="s">
        <v>292</v>
      </c>
      <c r="C10" s="251">
        <v>681.2</v>
      </c>
      <c r="D10" s="230" t="s">
        <v>264</v>
      </c>
      <c r="E10" s="228"/>
      <c r="F10" s="228"/>
      <c r="G10" s="218"/>
    </row>
    <row r="11" spans="1:7" ht="18.75" x14ac:dyDescent="0.3">
      <c r="A11" s="218"/>
      <c r="B11" s="250" t="s">
        <v>291</v>
      </c>
      <c r="C11" s="246">
        <v>4965</v>
      </c>
      <c r="D11" s="230" t="s">
        <v>264</v>
      </c>
      <c r="E11" s="228"/>
      <c r="F11" s="228"/>
      <c r="G11" s="218"/>
    </row>
    <row r="12" spans="1:7" ht="18.75" x14ac:dyDescent="0.3">
      <c r="A12" s="218"/>
      <c r="B12" s="250" t="s">
        <v>290</v>
      </c>
      <c r="C12" s="246">
        <v>6674</v>
      </c>
      <c r="D12" s="230" t="s">
        <v>264</v>
      </c>
      <c r="E12" s="228"/>
      <c r="F12" s="228"/>
      <c r="G12" s="218"/>
    </row>
    <row r="13" spans="1:7" ht="18.75" x14ac:dyDescent="0.3">
      <c r="A13" s="218"/>
      <c r="B13" s="250" t="s">
        <v>102</v>
      </c>
      <c r="C13" s="225">
        <v>0.35</v>
      </c>
      <c r="D13" s="230"/>
      <c r="E13" s="228"/>
      <c r="F13" s="228"/>
      <c r="G13" s="218"/>
    </row>
    <row r="14" spans="1:7" ht="18.75" x14ac:dyDescent="0.3">
      <c r="A14" s="218"/>
      <c r="B14" s="249"/>
      <c r="C14" s="248"/>
      <c r="D14" s="247"/>
      <c r="E14" s="228"/>
      <c r="F14" s="228"/>
      <c r="G14" s="218"/>
    </row>
    <row r="15" spans="1:7" ht="18.75" x14ac:dyDescent="0.3">
      <c r="A15" s="218"/>
      <c r="B15" s="231"/>
      <c r="C15" s="246"/>
      <c r="D15" s="231"/>
      <c r="E15" s="228"/>
      <c r="F15" s="228"/>
      <c r="G15" s="218"/>
    </row>
    <row r="16" spans="1:7" ht="18.75" x14ac:dyDescent="0.3">
      <c r="A16" s="218"/>
      <c r="B16" s="228"/>
      <c r="C16" s="245"/>
      <c r="D16" s="228"/>
      <c r="E16" s="228"/>
      <c r="F16" s="228"/>
      <c r="G16" s="218"/>
    </row>
    <row r="17" spans="1:7" ht="20.25" x14ac:dyDescent="0.35">
      <c r="A17" s="241" t="s">
        <v>9</v>
      </c>
      <c r="B17" s="244" t="s">
        <v>307</v>
      </c>
      <c r="C17" s="228"/>
      <c r="D17" s="228"/>
      <c r="E17" s="228"/>
      <c r="F17" s="228"/>
      <c r="G17" s="218"/>
    </row>
    <row r="18" spans="1:7" ht="20.25" x14ac:dyDescent="0.35">
      <c r="A18" s="242"/>
      <c r="B18" s="244" t="s">
        <v>306</v>
      </c>
      <c r="C18" s="243">
        <f>C4+C8*C7</f>
        <v>0.11155000000000001</v>
      </c>
      <c r="D18" s="218"/>
      <c r="E18" s="218"/>
      <c r="F18" s="218"/>
      <c r="G18" s="218"/>
    </row>
    <row r="19" spans="1:7" ht="18.75" x14ac:dyDescent="0.3">
      <c r="A19" s="242"/>
      <c r="B19" s="218"/>
      <c r="C19" s="218"/>
      <c r="D19" s="218"/>
      <c r="E19" s="218"/>
      <c r="F19" s="218"/>
      <c r="G19" s="218"/>
    </row>
    <row r="20" spans="1:7" ht="18.75" x14ac:dyDescent="0.3">
      <c r="A20" s="242"/>
      <c r="B20" s="218"/>
      <c r="C20" s="218"/>
      <c r="D20" s="218"/>
      <c r="E20" s="218"/>
      <c r="F20" s="218"/>
      <c r="G20" s="218"/>
    </row>
    <row r="21" spans="1:7" ht="18.75" x14ac:dyDescent="0.3">
      <c r="A21" s="241" t="s">
        <v>10</v>
      </c>
      <c r="B21" s="240" t="s">
        <v>305</v>
      </c>
      <c r="C21" s="239"/>
      <c r="D21" s="238"/>
      <c r="E21" s="238"/>
      <c r="F21" s="237"/>
      <c r="G21" s="218"/>
    </row>
    <row r="22" spans="1:7" ht="48.75" customHeight="1" x14ac:dyDescent="0.3">
      <c r="A22" s="218"/>
      <c r="B22" s="236" t="s">
        <v>304</v>
      </c>
      <c r="C22" s="235" t="s">
        <v>303</v>
      </c>
      <c r="D22" s="235" t="s">
        <v>302</v>
      </c>
      <c r="E22" s="235" t="s">
        <v>301</v>
      </c>
      <c r="F22" s="234" t="s">
        <v>300</v>
      </c>
      <c r="G22" s="218"/>
    </row>
    <row r="23" spans="1:7" ht="18.75" x14ac:dyDescent="0.3">
      <c r="A23" s="218"/>
      <c r="B23" s="233"/>
      <c r="C23" s="232"/>
      <c r="D23" s="231"/>
      <c r="E23" s="231"/>
      <c r="F23" s="230"/>
      <c r="G23" s="218"/>
    </row>
    <row r="24" spans="1:7" ht="18.75" x14ac:dyDescent="0.3">
      <c r="A24" s="228"/>
      <c r="B24" s="227" t="s">
        <v>299</v>
      </c>
      <c r="C24" s="226">
        <f>C12</f>
        <v>6674</v>
      </c>
      <c r="D24" s="225">
        <f>C24/(C$24+C$25)</f>
        <v>0.27392015781478535</v>
      </c>
      <c r="E24" s="225">
        <f>C5*(1-C13)</f>
        <v>4.1080000000000005E-2</v>
      </c>
      <c r="F24" s="229">
        <f>D24*E24</f>
        <v>1.1252640083031383E-2</v>
      </c>
      <c r="G24" s="218"/>
    </row>
    <row r="25" spans="1:7" ht="18.75" x14ac:dyDescent="0.3">
      <c r="A25" s="228"/>
      <c r="B25" s="227" t="s">
        <v>81</v>
      </c>
      <c r="C25" s="226">
        <f>C9*C10</f>
        <v>17690.763999999999</v>
      </c>
      <c r="D25" s="225">
        <f>C25/(C$24+C$25)</f>
        <v>0.72607984218521471</v>
      </c>
      <c r="E25" s="225">
        <f>C18</f>
        <v>0.11155000000000001</v>
      </c>
      <c r="F25" s="224">
        <f>D25*E25</f>
        <v>8.0994206395760715E-2</v>
      </c>
      <c r="G25" s="218"/>
    </row>
    <row r="26" spans="1:7" ht="25.5" customHeight="1" x14ac:dyDescent="0.3">
      <c r="A26" s="218"/>
      <c r="B26" s="223"/>
      <c r="C26" s="222"/>
      <c r="D26" s="222"/>
      <c r="E26" s="221" t="s">
        <v>298</v>
      </c>
      <c r="F26" s="220">
        <f>SUM(F24:F25)</f>
        <v>9.2246846478792097E-2</v>
      </c>
      <c r="G26" s="218"/>
    </row>
    <row r="27" spans="1:7" ht="18.75" x14ac:dyDescent="0.3">
      <c r="A27" s="218"/>
      <c r="B27" s="219"/>
      <c r="C27" s="219"/>
      <c r="D27" s="219"/>
      <c r="E27" s="218"/>
      <c r="F27" s="218"/>
      <c r="G27" s="218"/>
    </row>
    <row r="28" spans="1:7" ht="17.25" x14ac:dyDescent="0.2">
      <c r="A28" s="218"/>
      <c r="B28" s="218"/>
      <c r="C28" s="218"/>
      <c r="D28" s="218"/>
      <c r="E28" s="218"/>
      <c r="F28" s="218"/>
      <c r="G28" s="218"/>
    </row>
  </sheetData>
  <phoneticPr fontId="39"/>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showGridLines="0" workbookViewId="0">
      <selection activeCell="A2" sqref="A2:F2"/>
    </sheetView>
  </sheetViews>
  <sheetFormatPr defaultColWidth="9.28515625" defaultRowHeight="14.25" x14ac:dyDescent="0.15"/>
  <cols>
    <col min="1" max="1" width="38.28515625" style="257" customWidth="1"/>
    <col min="2" max="2" width="11.5703125" style="257" bestFit="1" customWidth="1"/>
    <col min="3" max="3" width="10.42578125" style="257" bestFit="1" customWidth="1"/>
    <col min="4" max="4" width="10.7109375" style="257" customWidth="1"/>
    <col min="5" max="5" width="10.28515625" style="257" customWidth="1"/>
    <col min="6" max="6" width="10.5703125" style="257" customWidth="1"/>
    <col min="7" max="7" width="10.42578125" style="257" customWidth="1"/>
    <col min="8" max="16384" width="9.28515625" style="257"/>
  </cols>
  <sheetData>
    <row r="1" spans="1:7" ht="21" customHeight="1" x14ac:dyDescent="0.3">
      <c r="A1" s="24" t="s">
        <v>384</v>
      </c>
      <c r="B1" s="276"/>
      <c r="C1" s="277"/>
      <c r="D1" s="276"/>
      <c r="E1" s="276"/>
      <c r="F1" s="276"/>
      <c r="G1" s="276"/>
    </row>
    <row r="2" spans="1:7" ht="15.75" x14ac:dyDescent="0.25">
      <c r="A2" s="315" t="s">
        <v>333</v>
      </c>
      <c r="B2" s="315"/>
      <c r="C2" s="315"/>
      <c r="D2" s="315"/>
      <c r="E2" s="315"/>
      <c r="F2" s="315"/>
      <c r="G2" s="217"/>
    </row>
    <row r="3" spans="1:7" ht="15.75" x14ac:dyDescent="0.25">
      <c r="A3" s="315" t="s">
        <v>332</v>
      </c>
      <c r="B3" s="315"/>
      <c r="C3" s="315"/>
      <c r="D3" s="315"/>
      <c r="E3" s="315"/>
      <c r="F3" s="315"/>
      <c r="G3" s="217"/>
    </row>
    <row r="4" spans="1:7" ht="15.75" x14ac:dyDescent="0.25">
      <c r="A4" s="316" t="s">
        <v>331</v>
      </c>
      <c r="B4" s="316"/>
      <c r="C4" s="316"/>
      <c r="D4" s="316"/>
      <c r="E4" s="316"/>
      <c r="F4" s="316"/>
      <c r="G4" s="217"/>
    </row>
    <row r="5" spans="1:7" ht="39" customHeight="1" x14ac:dyDescent="0.25">
      <c r="A5" s="217"/>
      <c r="B5" s="275" t="s">
        <v>353</v>
      </c>
      <c r="C5" s="274">
        <v>2015</v>
      </c>
      <c r="D5" s="274">
        <v>2016</v>
      </c>
      <c r="E5" s="274">
        <v>2017</v>
      </c>
      <c r="F5" s="274">
        <v>2018</v>
      </c>
      <c r="G5" s="274">
        <v>2019</v>
      </c>
    </row>
    <row r="6" spans="1:7" ht="15.75" x14ac:dyDescent="0.25">
      <c r="A6" s="181" t="s">
        <v>330</v>
      </c>
      <c r="B6" s="258"/>
      <c r="C6" s="217"/>
      <c r="D6" s="217"/>
      <c r="E6" s="217"/>
      <c r="F6" s="217"/>
      <c r="G6" s="217"/>
    </row>
    <row r="7" spans="1:7" ht="15.75" x14ac:dyDescent="0.25">
      <c r="A7" s="273" t="s">
        <v>95</v>
      </c>
      <c r="B7" s="272">
        <v>1996</v>
      </c>
      <c r="C7" s="272">
        <v>2267</v>
      </c>
      <c r="D7" s="272">
        <v>2508</v>
      </c>
      <c r="E7" s="272">
        <v>2827</v>
      </c>
      <c r="F7" s="272">
        <v>3138</v>
      </c>
      <c r="G7" s="272">
        <v>3571</v>
      </c>
    </row>
    <row r="8" spans="1:7" ht="15.75" x14ac:dyDescent="0.25">
      <c r="A8" s="273" t="s">
        <v>271</v>
      </c>
      <c r="B8" s="269">
        <v>644</v>
      </c>
      <c r="C8" s="269">
        <v>742</v>
      </c>
      <c r="D8" s="269">
        <v>830</v>
      </c>
      <c r="E8" s="269">
        <v>959</v>
      </c>
      <c r="F8" s="269">
        <v>1087</v>
      </c>
      <c r="G8" s="269">
        <v>1241</v>
      </c>
    </row>
    <row r="9" spans="1:7" ht="15.75" x14ac:dyDescent="0.25">
      <c r="A9" s="273" t="s">
        <v>329</v>
      </c>
      <c r="B9" s="258">
        <v>1352</v>
      </c>
      <c r="C9" s="258">
        <v>1525</v>
      </c>
      <c r="D9" s="258">
        <v>1678</v>
      </c>
      <c r="E9" s="258">
        <v>1868</v>
      </c>
      <c r="F9" s="258">
        <v>2051</v>
      </c>
      <c r="G9" s="258">
        <v>2330</v>
      </c>
    </row>
    <row r="10" spans="1:7" ht="15.75" x14ac:dyDescent="0.25">
      <c r="A10" s="273" t="s">
        <v>159</v>
      </c>
      <c r="B10" s="258">
        <v>492</v>
      </c>
      <c r="C10" s="258">
        <v>785</v>
      </c>
      <c r="D10" s="258">
        <v>1061</v>
      </c>
      <c r="E10" s="258">
        <v>1301</v>
      </c>
      <c r="F10" s="258">
        <v>1009</v>
      </c>
      <c r="G10" s="258">
        <v>917</v>
      </c>
    </row>
    <row r="11" spans="1:7" ht="15.75" x14ac:dyDescent="0.25">
      <c r="A11" s="273" t="s">
        <v>91</v>
      </c>
      <c r="B11" s="258">
        <v>171</v>
      </c>
      <c r="C11" s="258">
        <v>178</v>
      </c>
      <c r="D11" s="258">
        <v>191</v>
      </c>
      <c r="E11" s="258">
        <v>175</v>
      </c>
      <c r="F11" s="258">
        <v>142</v>
      </c>
      <c r="G11" s="258">
        <v>110</v>
      </c>
    </row>
    <row r="12" spans="1:7" ht="15.75" x14ac:dyDescent="0.25">
      <c r="A12" s="273" t="s">
        <v>328</v>
      </c>
      <c r="B12" s="269">
        <v>212</v>
      </c>
      <c r="C12" s="269">
        <v>239</v>
      </c>
      <c r="D12" s="269">
        <v>270</v>
      </c>
      <c r="E12" s="269">
        <v>306</v>
      </c>
      <c r="F12" s="269">
        <v>334</v>
      </c>
      <c r="G12" s="269">
        <v>374</v>
      </c>
    </row>
    <row r="13" spans="1:7" ht="15.75" x14ac:dyDescent="0.25">
      <c r="A13" s="273" t="s">
        <v>327</v>
      </c>
      <c r="B13" s="258">
        <v>477</v>
      </c>
      <c r="C13" s="258">
        <v>323</v>
      </c>
      <c r="D13" s="258">
        <v>156</v>
      </c>
      <c r="E13" s="258">
        <v>86</v>
      </c>
      <c r="F13" s="258">
        <v>566</v>
      </c>
      <c r="G13" s="258">
        <v>929</v>
      </c>
    </row>
    <row r="14" spans="1:7" ht="15.75" x14ac:dyDescent="0.25">
      <c r="A14" s="273" t="s">
        <v>326</v>
      </c>
      <c r="B14" s="269">
        <v>186</v>
      </c>
      <c r="C14" s="269">
        <v>126</v>
      </c>
      <c r="D14" s="269">
        <v>61</v>
      </c>
      <c r="E14" s="269">
        <v>34</v>
      </c>
      <c r="F14" s="269">
        <v>221</v>
      </c>
      <c r="G14" s="269">
        <v>363</v>
      </c>
    </row>
    <row r="15" spans="1:7" ht="15.75" x14ac:dyDescent="0.25">
      <c r="A15" s="273" t="s">
        <v>325</v>
      </c>
      <c r="B15" s="272">
        <v>291</v>
      </c>
      <c r="C15" s="272">
        <v>197</v>
      </c>
      <c r="D15" s="272">
        <v>95</v>
      </c>
      <c r="E15" s="272">
        <v>52</v>
      </c>
      <c r="F15" s="272">
        <v>345</v>
      </c>
      <c r="G15" s="272">
        <v>566</v>
      </c>
    </row>
    <row r="16" spans="1:7" ht="15.75" x14ac:dyDescent="0.25">
      <c r="A16" s="181" t="s">
        <v>324</v>
      </c>
      <c r="B16" s="258"/>
      <c r="C16" s="258"/>
      <c r="D16" s="258"/>
      <c r="E16" s="258"/>
      <c r="F16" s="258"/>
      <c r="G16" s="258"/>
    </row>
    <row r="17" spans="1:7" ht="15.75" x14ac:dyDescent="0.25">
      <c r="A17" s="273" t="s">
        <v>323</v>
      </c>
      <c r="B17" s="258">
        <v>358</v>
      </c>
      <c r="C17" s="272">
        <v>413</v>
      </c>
      <c r="D17" s="272">
        <v>462</v>
      </c>
      <c r="E17" s="272">
        <v>545</v>
      </c>
      <c r="F17" s="272">
        <v>618</v>
      </c>
      <c r="G17" s="272">
        <v>704</v>
      </c>
    </row>
    <row r="18" spans="1:7" ht="15.75" x14ac:dyDescent="0.25">
      <c r="A18" s="273" t="s">
        <v>137</v>
      </c>
      <c r="B18" s="258">
        <v>208</v>
      </c>
      <c r="C18" s="258">
        <v>236</v>
      </c>
      <c r="D18" s="258">
        <v>267</v>
      </c>
      <c r="E18" s="258">
        <v>309</v>
      </c>
      <c r="F18" s="258">
        <v>354</v>
      </c>
      <c r="G18" s="258">
        <v>405</v>
      </c>
    </row>
    <row r="19" spans="1:7" ht="15.75" x14ac:dyDescent="0.25">
      <c r="A19" s="273" t="s">
        <v>136</v>
      </c>
      <c r="B19" s="258">
        <v>399</v>
      </c>
      <c r="C19" s="258">
        <v>463</v>
      </c>
      <c r="D19" s="258">
        <v>541</v>
      </c>
      <c r="E19" s="258">
        <v>629</v>
      </c>
      <c r="F19" s="258">
        <v>739</v>
      </c>
      <c r="G19" s="258">
        <v>864</v>
      </c>
    </row>
    <row r="20" spans="1:7" ht="15.75" x14ac:dyDescent="0.25">
      <c r="A20" s="273" t="s">
        <v>322</v>
      </c>
      <c r="B20" s="269">
        <v>156</v>
      </c>
      <c r="C20" s="269">
        <v>122</v>
      </c>
      <c r="D20" s="269">
        <v>142</v>
      </c>
      <c r="E20" s="269">
        <v>167</v>
      </c>
      <c r="F20" s="269">
        <v>212</v>
      </c>
      <c r="G20" s="269">
        <v>206</v>
      </c>
    </row>
    <row r="21" spans="1:7" ht="15.75" x14ac:dyDescent="0.25">
      <c r="A21" s="273" t="s">
        <v>135</v>
      </c>
      <c r="B21" s="258">
        <v>1121</v>
      </c>
      <c r="C21" s="258">
        <v>1234</v>
      </c>
      <c r="D21" s="258">
        <v>1412</v>
      </c>
      <c r="E21" s="258">
        <v>1650</v>
      </c>
      <c r="F21" s="258">
        <v>1923</v>
      </c>
      <c r="G21" s="258">
        <v>2179</v>
      </c>
    </row>
    <row r="22" spans="1:7" ht="15.75" x14ac:dyDescent="0.25">
      <c r="A22" s="273" t="s">
        <v>321</v>
      </c>
      <c r="B22" s="258">
        <v>4180</v>
      </c>
      <c r="C22" s="258">
        <v>5149</v>
      </c>
      <c r="D22" s="258">
        <v>6410</v>
      </c>
      <c r="E22" s="258">
        <v>7449</v>
      </c>
      <c r="F22" s="258">
        <v>8200</v>
      </c>
      <c r="G22" s="258">
        <v>9016</v>
      </c>
    </row>
    <row r="23" spans="1:7" ht="15.75" x14ac:dyDescent="0.25">
      <c r="A23" s="273" t="s">
        <v>1</v>
      </c>
      <c r="B23" s="269">
        <v>868</v>
      </c>
      <c r="C23" s="269">
        <v>1654</v>
      </c>
      <c r="D23" s="269">
        <v>2714</v>
      </c>
      <c r="E23" s="269">
        <v>4015</v>
      </c>
      <c r="F23" s="269">
        <v>5024</v>
      </c>
      <c r="G23" s="269">
        <v>5941</v>
      </c>
    </row>
    <row r="24" spans="1:7" ht="15.75" x14ac:dyDescent="0.25">
      <c r="A24" s="273" t="s">
        <v>320</v>
      </c>
      <c r="B24" s="258">
        <v>3312</v>
      </c>
      <c r="C24" s="258">
        <v>3495</v>
      </c>
      <c r="D24" s="258">
        <v>3696</v>
      </c>
      <c r="E24" s="258">
        <v>3434</v>
      </c>
      <c r="F24" s="258">
        <v>3176</v>
      </c>
      <c r="G24" s="258">
        <v>3075</v>
      </c>
    </row>
    <row r="25" spans="1:7" ht="15.75" x14ac:dyDescent="0.25">
      <c r="A25" s="273" t="s">
        <v>319</v>
      </c>
      <c r="B25" s="269">
        <v>1069</v>
      </c>
      <c r="C25" s="269">
        <v>1069</v>
      </c>
      <c r="D25" s="269">
        <v>1069</v>
      </c>
      <c r="E25" s="269">
        <v>1069</v>
      </c>
      <c r="F25" s="269">
        <v>1069</v>
      </c>
      <c r="G25" s="269">
        <v>1069</v>
      </c>
    </row>
    <row r="26" spans="1:7" ht="15.75" x14ac:dyDescent="0.25">
      <c r="A26" s="273" t="s">
        <v>134</v>
      </c>
      <c r="B26" s="258">
        <v>5502</v>
      </c>
      <c r="C26" s="258">
        <v>5798</v>
      </c>
      <c r="D26" s="258">
        <v>6177</v>
      </c>
      <c r="E26" s="258">
        <v>6153</v>
      </c>
      <c r="F26" s="258">
        <v>6168</v>
      </c>
      <c r="G26" s="258">
        <v>6323</v>
      </c>
    </row>
    <row r="27" spans="1:7" ht="15.75" x14ac:dyDescent="0.25">
      <c r="A27" s="273" t="s">
        <v>133</v>
      </c>
      <c r="B27" s="258">
        <v>104</v>
      </c>
      <c r="C27" s="258">
        <v>77</v>
      </c>
      <c r="D27" s="258">
        <v>91</v>
      </c>
      <c r="E27" s="258">
        <v>110</v>
      </c>
      <c r="F27" s="258">
        <v>117</v>
      </c>
      <c r="G27" s="258">
        <v>135</v>
      </c>
    </row>
    <row r="28" spans="1:7" ht="15.75" x14ac:dyDescent="0.25">
      <c r="A28" s="273" t="s">
        <v>318</v>
      </c>
      <c r="B28" s="258">
        <v>335</v>
      </c>
      <c r="C28" s="258">
        <v>482</v>
      </c>
      <c r="D28" s="258">
        <v>842</v>
      </c>
      <c r="E28" s="258">
        <v>814</v>
      </c>
      <c r="F28" s="258">
        <v>585</v>
      </c>
      <c r="G28" s="258">
        <v>393</v>
      </c>
    </row>
    <row r="29" spans="1:7" ht="15.75" x14ac:dyDescent="0.25">
      <c r="A29" s="273" t="s">
        <v>104</v>
      </c>
      <c r="B29" s="258">
        <v>41</v>
      </c>
      <c r="C29" s="258">
        <v>140</v>
      </c>
      <c r="D29" s="258">
        <v>165</v>
      </c>
      <c r="E29" s="258">
        <v>200</v>
      </c>
      <c r="F29" s="258">
        <v>223</v>
      </c>
      <c r="G29" s="258">
        <v>267</v>
      </c>
    </row>
    <row r="30" spans="1:7" ht="15.75" x14ac:dyDescent="0.25">
      <c r="A30" s="273" t="s">
        <v>317</v>
      </c>
      <c r="B30" s="269">
        <v>86</v>
      </c>
      <c r="C30" s="269">
        <v>97</v>
      </c>
      <c r="D30" s="269">
        <v>120</v>
      </c>
      <c r="E30" s="269">
        <v>134</v>
      </c>
      <c r="F30" s="269">
        <v>174</v>
      </c>
      <c r="G30" s="269">
        <v>168</v>
      </c>
    </row>
    <row r="31" spans="1:7" ht="15.75" x14ac:dyDescent="0.25">
      <c r="A31" s="273" t="s">
        <v>132</v>
      </c>
      <c r="B31" s="258">
        <v>566</v>
      </c>
      <c r="C31" s="258">
        <v>796</v>
      </c>
      <c r="D31" s="258">
        <v>1218</v>
      </c>
      <c r="E31" s="258">
        <v>1258</v>
      </c>
      <c r="F31" s="258">
        <v>1099</v>
      </c>
      <c r="G31" s="258">
        <v>963</v>
      </c>
    </row>
    <row r="32" spans="1:7" ht="15.75" x14ac:dyDescent="0.25">
      <c r="A32" s="273" t="s">
        <v>82</v>
      </c>
      <c r="B32" s="258">
        <v>1694</v>
      </c>
      <c r="C32" s="258">
        <v>1554</v>
      </c>
      <c r="D32" s="258">
        <v>1389</v>
      </c>
      <c r="E32" s="258">
        <v>1189</v>
      </c>
      <c r="F32" s="258">
        <v>966</v>
      </c>
      <c r="G32" s="258">
        <v>699</v>
      </c>
    </row>
    <row r="33" spans="1:7" ht="15.75" x14ac:dyDescent="0.25">
      <c r="A33" s="273" t="s">
        <v>316</v>
      </c>
      <c r="B33" s="258">
        <v>335</v>
      </c>
      <c r="C33" s="258">
        <v>344</v>
      </c>
      <c r="D33" s="258">
        <v>370</v>
      </c>
      <c r="E33" s="258">
        <v>454</v>
      </c>
      <c r="F33" s="258">
        <v>505</v>
      </c>
      <c r="G33" s="258">
        <v>496</v>
      </c>
    </row>
    <row r="34" spans="1:7" ht="15.75" x14ac:dyDescent="0.25">
      <c r="A34" s="273" t="s">
        <v>131</v>
      </c>
      <c r="B34" s="269">
        <v>2907</v>
      </c>
      <c r="C34" s="269">
        <v>3104</v>
      </c>
      <c r="D34" s="269">
        <v>3200</v>
      </c>
      <c r="E34" s="269">
        <v>3252</v>
      </c>
      <c r="F34" s="269">
        <v>3598</v>
      </c>
      <c r="G34" s="269">
        <v>4165</v>
      </c>
    </row>
    <row r="35" spans="1:7" ht="15.75" x14ac:dyDescent="0.25">
      <c r="A35" s="273" t="s">
        <v>315</v>
      </c>
      <c r="B35" s="272">
        <v>5502</v>
      </c>
      <c r="C35" s="272">
        <v>5798</v>
      </c>
      <c r="D35" s="272">
        <v>6177</v>
      </c>
      <c r="E35" s="272">
        <v>6153</v>
      </c>
      <c r="F35" s="272">
        <v>6168</v>
      </c>
      <c r="G35" s="272">
        <v>6323</v>
      </c>
    </row>
    <row r="36" spans="1:7" ht="15.75" x14ac:dyDescent="0.25">
      <c r="A36" s="273"/>
      <c r="B36" s="272"/>
      <c r="C36" s="272"/>
      <c r="D36" s="272"/>
      <c r="E36" s="272"/>
      <c r="F36" s="272"/>
      <c r="G36" s="272"/>
    </row>
    <row r="37" spans="1:7" ht="15.75" x14ac:dyDescent="0.25">
      <c r="A37" s="271" t="s">
        <v>354</v>
      </c>
      <c r="B37" s="258"/>
      <c r="C37" s="258"/>
      <c r="D37" s="258"/>
      <c r="E37" s="258"/>
      <c r="F37" s="258"/>
      <c r="G37" s="258"/>
    </row>
    <row r="38" spans="1:7" ht="21" customHeight="1" x14ac:dyDescent="0.25">
      <c r="A38" s="260" t="s">
        <v>349</v>
      </c>
      <c r="B38" s="258"/>
      <c r="C38" s="258">
        <f>C13+C11</f>
        <v>501</v>
      </c>
      <c r="D38" s="258">
        <f>D13+D11</f>
        <v>347</v>
      </c>
      <c r="E38" s="258">
        <f>E13+E11</f>
        <v>261</v>
      </c>
      <c r="F38" s="258">
        <f>F13+F11</f>
        <v>708</v>
      </c>
      <c r="G38" s="258">
        <f>G13+G11</f>
        <v>1039</v>
      </c>
    </row>
    <row r="39" spans="1:7" ht="15.75" x14ac:dyDescent="0.25">
      <c r="A39" s="260" t="s">
        <v>102</v>
      </c>
      <c r="B39" s="258"/>
      <c r="C39" s="270">
        <f>C14/C13</f>
        <v>0.39009287925696595</v>
      </c>
      <c r="D39" s="270">
        <f>D14/D13</f>
        <v>0.39102564102564102</v>
      </c>
      <c r="E39" s="270">
        <f>E14/E13</f>
        <v>0.39534883720930231</v>
      </c>
      <c r="F39" s="270">
        <f>F14/F13</f>
        <v>0.39045936395759717</v>
      </c>
      <c r="G39" s="270">
        <f>G14/G13</f>
        <v>0.3907427341227126</v>
      </c>
    </row>
    <row r="40" spans="1:7" ht="15.75" x14ac:dyDescent="0.25">
      <c r="A40" s="260" t="s">
        <v>348</v>
      </c>
      <c r="B40" s="258"/>
      <c r="C40" s="258">
        <f>(1-C39)*C38</f>
        <v>305.56346749226003</v>
      </c>
      <c r="D40" s="258">
        <f>(1-D39)*D38</f>
        <v>211.3141025641026</v>
      </c>
      <c r="E40" s="258">
        <f>(1-E39)*E38</f>
        <v>157.81395348837208</v>
      </c>
      <c r="F40" s="258">
        <f>(1-F39)*F38</f>
        <v>431.55477031802121</v>
      </c>
      <c r="G40" s="258">
        <f>(1-G39)*G38</f>
        <v>633.01829924650167</v>
      </c>
    </row>
    <row r="41" spans="1:7" ht="15.75" x14ac:dyDescent="0.25">
      <c r="A41" s="260" t="s">
        <v>159</v>
      </c>
      <c r="B41" s="258"/>
      <c r="C41" s="258">
        <f>C10</f>
        <v>785</v>
      </c>
      <c r="D41" s="258">
        <f>D10</f>
        <v>1061</v>
      </c>
      <c r="E41" s="258">
        <f>E10</f>
        <v>1301</v>
      </c>
      <c r="F41" s="258">
        <f>F10</f>
        <v>1009</v>
      </c>
      <c r="G41" s="258">
        <f>G10</f>
        <v>917</v>
      </c>
    </row>
    <row r="42" spans="1:7" ht="15.75" x14ac:dyDescent="0.25">
      <c r="A42" s="260" t="s">
        <v>347</v>
      </c>
      <c r="B42" s="258"/>
      <c r="C42" s="258">
        <f>(C22-B22)</f>
        <v>969</v>
      </c>
      <c r="D42" s="258">
        <f>(D22-C22)</f>
        <v>1261</v>
      </c>
      <c r="E42" s="258">
        <f>(E22-D22)</f>
        <v>1039</v>
      </c>
      <c r="F42" s="258">
        <f>(F22-E22)</f>
        <v>751</v>
      </c>
      <c r="G42" s="258">
        <f>(G22-F22)</f>
        <v>816</v>
      </c>
    </row>
    <row r="43" spans="1:7" ht="15.75" x14ac:dyDescent="0.25">
      <c r="A43" s="260" t="s">
        <v>346</v>
      </c>
      <c r="B43" s="258">
        <f t="shared" ref="B43:G43" si="0">B21-(B31-B29-B28)</f>
        <v>931</v>
      </c>
      <c r="C43" s="258">
        <f t="shared" si="0"/>
        <v>1060</v>
      </c>
      <c r="D43" s="258">
        <f t="shared" si="0"/>
        <v>1201</v>
      </c>
      <c r="E43" s="258">
        <f t="shared" si="0"/>
        <v>1406</v>
      </c>
      <c r="F43" s="258">
        <f t="shared" si="0"/>
        <v>1632</v>
      </c>
      <c r="G43" s="258">
        <f t="shared" si="0"/>
        <v>1876</v>
      </c>
    </row>
    <row r="44" spans="1:7" ht="15.75" x14ac:dyDescent="0.25">
      <c r="A44" s="260" t="s">
        <v>345</v>
      </c>
      <c r="B44" s="269"/>
      <c r="C44" s="269">
        <f>(C43-B43)</f>
        <v>129</v>
      </c>
      <c r="D44" s="269">
        <f>(D43-C43)</f>
        <v>141</v>
      </c>
      <c r="E44" s="269">
        <f>(E43-D43)</f>
        <v>205</v>
      </c>
      <c r="F44" s="269">
        <f>(F43-E43)</f>
        <v>226</v>
      </c>
      <c r="G44" s="269">
        <f>(G43-F43)</f>
        <v>244</v>
      </c>
    </row>
    <row r="45" spans="1:7" ht="15.75" x14ac:dyDescent="0.25">
      <c r="A45" s="260" t="s">
        <v>344</v>
      </c>
      <c r="B45" s="258"/>
      <c r="C45" s="268">
        <f>C40+C41-C42-C44</f>
        <v>-7.436532507739912</v>
      </c>
      <c r="D45" s="268">
        <f>D40+D41-D42-D44</f>
        <v>-129.68589743589746</v>
      </c>
      <c r="E45" s="268">
        <f>E40+E41-E42-E44</f>
        <v>214.81395348837214</v>
      </c>
      <c r="F45" s="268">
        <f>F40+F41-F42-F44</f>
        <v>463.55477031802116</v>
      </c>
      <c r="G45" s="268">
        <f>G40+G41-G42-G44</f>
        <v>490.01829924650156</v>
      </c>
    </row>
    <row r="46" spans="1:7" ht="58.5" customHeight="1" x14ac:dyDescent="0.25">
      <c r="A46" s="311" t="s">
        <v>314</v>
      </c>
      <c r="B46" s="317"/>
      <c r="C46" s="317"/>
      <c r="D46" s="317"/>
      <c r="E46" s="317"/>
      <c r="F46" s="317"/>
      <c r="G46" s="317"/>
    </row>
    <row r="47" spans="1:7" ht="30" customHeight="1" x14ac:dyDescent="0.25">
      <c r="A47" s="267" t="s">
        <v>357</v>
      </c>
      <c r="B47" s="266">
        <f>NPV(0.115,C45:G45)</f>
        <v>628.2402339602786</v>
      </c>
      <c r="C47" s="260"/>
      <c r="D47" s="260"/>
      <c r="E47" s="260"/>
      <c r="F47" s="260"/>
      <c r="G47" s="260"/>
    </row>
    <row r="48" spans="1:7" ht="90" customHeight="1" x14ac:dyDescent="0.25">
      <c r="A48" s="312" t="s">
        <v>343</v>
      </c>
      <c r="B48" s="312"/>
      <c r="C48" s="312"/>
      <c r="D48" s="312"/>
      <c r="E48" s="312"/>
      <c r="F48" s="312"/>
      <c r="G48" s="312"/>
    </row>
    <row r="49" spans="1:7" ht="45" customHeight="1" x14ac:dyDescent="0.25">
      <c r="A49" s="313" t="s">
        <v>355</v>
      </c>
      <c r="B49" s="314"/>
      <c r="C49" s="314"/>
      <c r="D49" s="314"/>
      <c r="E49" s="314"/>
      <c r="F49" s="314"/>
      <c r="G49" s="314"/>
    </row>
    <row r="50" spans="1:7" ht="19.5" customHeight="1" x14ac:dyDescent="0.25">
      <c r="A50" s="260" t="s">
        <v>358</v>
      </c>
      <c r="B50" s="261">
        <f>G26</f>
        <v>6323</v>
      </c>
      <c r="C50" s="258"/>
      <c r="D50" s="258"/>
      <c r="E50" s="258"/>
      <c r="F50" s="258"/>
      <c r="G50" s="258"/>
    </row>
    <row r="51" spans="1:7" ht="15.75" x14ac:dyDescent="0.25">
      <c r="A51" s="260" t="s">
        <v>342</v>
      </c>
      <c r="B51" s="264">
        <f>B50/(1+0.115)^5</f>
        <v>3669.0095729578643</v>
      </c>
      <c r="C51" s="258"/>
      <c r="D51" s="258"/>
      <c r="E51" s="258"/>
      <c r="F51" s="258"/>
      <c r="G51" s="258"/>
    </row>
    <row r="52" spans="1:7" ht="21" customHeight="1" x14ac:dyDescent="0.25">
      <c r="A52" s="260" t="s">
        <v>341</v>
      </c>
      <c r="B52" s="265">
        <f>B47+B51</f>
        <v>4297.2498069181429</v>
      </c>
      <c r="C52" s="258"/>
      <c r="D52" s="258"/>
      <c r="E52" s="258"/>
      <c r="F52" s="258"/>
      <c r="G52" s="258"/>
    </row>
    <row r="53" spans="1:7" ht="43.5" customHeight="1" x14ac:dyDescent="0.25">
      <c r="A53" s="311" t="s">
        <v>313</v>
      </c>
      <c r="B53" s="311"/>
      <c r="C53" s="311"/>
      <c r="D53" s="311"/>
      <c r="E53" s="311"/>
      <c r="F53" s="311"/>
      <c r="G53" s="311"/>
    </row>
    <row r="54" spans="1:7" ht="23.25" customHeight="1" x14ac:dyDescent="0.25">
      <c r="A54" s="260" t="s">
        <v>341</v>
      </c>
      <c r="B54" s="261">
        <f>B52</f>
        <v>4297.2498069181429</v>
      </c>
      <c r="C54" s="258"/>
      <c r="D54" s="258"/>
      <c r="E54" s="258"/>
      <c r="F54" s="258"/>
      <c r="G54" s="258"/>
    </row>
    <row r="55" spans="1:7" ht="15.75" x14ac:dyDescent="0.25">
      <c r="A55" s="260" t="s">
        <v>340</v>
      </c>
      <c r="B55" s="263">
        <f>B28+B29+B32</f>
        <v>2070</v>
      </c>
      <c r="C55" s="258"/>
      <c r="D55" s="258"/>
      <c r="E55" s="258"/>
      <c r="F55" s="258"/>
      <c r="G55" s="258"/>
    </row>
    <row r="56" spans="1:7" ht="15.75" x14ac:dyDescent="0.25">
      <c r="A56" s="260" t="s">
        <v>336</v>
      </c>
      <c r="B56" s="259">
        <f>B54-B55</f>
        <v>2227.2498069181429</v>
      </c>
      <c r="C56" s="258"/>
      <c r="D56" s="258"/>
      <c r="E56" s="258"/>
      <c r="F56" s="258"/>
      <c r="G56" s="258"/>
    </row>
    <row r="57" spans="1:7" ht="40.5" customHeight="1" x14ac:dyDescent="0.25">
      <c r="A57" s="311" t="s">
        <v>356</v>
      </c>
      <c r="B57" s="311"/>
      <c r="C57" s="311"/>
      <c r="D57" s="311"/>
      <c r="E57" s="311"/>
      <c r="F57" s="311"/>
      <c r="G57" s="311"/>
    </row>
    <row r="58" spans="1:7" ht="21.75" customHeight="1" x14ac:dyDescent="0.25">
      <c r="A58" s="260" t="s">
        <v>358</v>
      </c>
      <c r="B58" s="261">
        <f>(G45*(1+0.04))/(0.115-0.04)</f>
        <v>6794.9204162181541</v>
      </c>
      <c r="C58" s="258"/>
      <c r="D58" s="258"/>
      <c r="E58" s="258"/>
      <c r="F58" s="258"/>
      <c r="G58" s="258"/>
    </row>
    <row r="59" spans="1:7" ht="15.75" x14ac:dyDescent="0.25">
      <c r="A59" s="260" t="s">
        <v>342</v>
      </c>
      <c r="B59" s="264">
        <f>B58/(1+0.115)^5</f>
        <v>3942.8480238164229</v>
      </c>
      <c r="C59" s="258"/>
      <c r="D59" s="258"/>
      <c r="E59" s="258"/>
      <c r="F59" s="258"/>
      <c r="G59" s="258"/>
    </row>
    <row r="60" spans="1:7" ht="21.75" customHeight="1" x14ac:dyDescent="0.25">
      <c r="A60" s="260" t="s">
        <v>341</v>
      </c>
      <c r="B60" s="259">
        <f>B47+B59</f>
        <v>4571.0882577767015</v>
      </c>
      <c r="C60" s="258"/>
      <c r="D60" s="258"/>
      <c r="E60" s="258"/>
      <c r="F60" s="258"/>
      <c r="G60" s="258"/>
    </row>
    <row r="61" spans="1:7" ht="42" customHeight="1" x14ac:dyDescent="0.25">
      <c r="A61" s="311" t="s">
        <v>312</v>
      </c>
      <c r="B61" s="311"/>
      <c r="C61" s="311"/>
      <c r="D61" s="311"/>
      <c r="E61" s="311"/>
      <c r="F61" s="311"/>
      <c r="G61" s="311"/>
    </row>
    <row r="62" spans="1:7" ht="23.25" customHeight="1" x14ac:dyDescent="0.25">
      <c r="A62" s="260" t="s">
        <v>341</v>
      </c>
      <c r="B62" s="261">
        <f>B60</f>
        <v>4571.0882577767015</v>
      </c>
      <c r="C62" s="258"/>
      <c r="D62" s="258"/>
      <c r="E62" s="258"/>
      <c r="F62" s="258"/>
      <c r="G62" s="258"/>
    </row>
    <row r="63" spans="1:7" ht="15.75" x14ac:dyDescent="0.25">
      <c r="A63" s="260" t="s">
        <v>340</v>
      </c>
      <c r="B63" s="263">
        <f>B55</f>
        <v>2070</v>
      </c>
      <c r="C63" s="258"/>
      <c r="D63" s="258"/>
      <c r="E63" s="258"/>
      <c r="F63" s="258"/>
      <c r="G63" s="258"/>
    </row>
    <row r="64" spans="1:7" ht="15.75" x14ac:dyDescent="0.25">
      <c r="A64" s="260" t="s">
        <v>336</v>
      </c>
      <c r="B64" s="259">
        <f>B62-B63</f>
        <v>2501.0882577767015</v>
      </c>
      <c r="C64" s="258"/>
      <c r="D64" s="258"/>
      <c r="E64" s="258"/>
      <c r="F64" s="258"/>
      <c r="G64" s="258"/>
    </row>
    <row r="65" spans="1:7" ht="42" customHeight="1" x14ac:dyDescent="0.25">
      <c r="A65" s="311" t="s">
        <v>359</v>
      </c>
      <c r="B65" s="311"/>
      <c r="C65" s="311"/>
      <c r="D65" s="311"/>
      <c r="E65" s="311"/>
      <c r="F65" s="311"/>
      <c r="G65" s="311"/>
    </row>
    <row r="66" spans="1:7" ht="23.25" customHeight="1" x14ac:dyDescent="0.25">
      <c r="A66" s="260" t="s">
        <v>360</v>
      </c>
      <c r="B66" s="261">
        <f>15*G15</f>
        <v>8490</v>
      </c>
      <c r="C66" s="258"/>
      <c r="D66" s="258"/>
      <c r="E66" s="258"/>
      <c r="F66" s="258"/>
      <c r="G66" s="258"/>
    </row>
    <row r="67" spans="1:7" ht="15.75" x14ac:dyDescent="0.25">
      <c r="A67" s="260" t="s">
        <v>361</v>
      </c>
      <c r="B67" s="263">
        <f>G28+G29+G32</f>
        <v>1359</v>
      </c>
      <c r="C67" s="258"/>
      <c r="D67" s="258"/>
      <c r="E67" s="258"/>
      <c r="F67" s="258"/>
      <c r="G67" s="258"/>
    </row>
    <row r="68" spans="1:7" ht="15.75" x14ac:dyDescent="0.25">
      <c r="A68" s="260" t="s">
        <v>362</v>
      </c>
      <c r="B68" s="261">
        <f>B66+B67</f>
        <v>9849</v>
      </c>
      <c r="C68" s="258"/>
      <c r="D68" s="258"/>
      <c r="E68" s="258"/>
      <c r="F68" s="258"/>
      <c r="G68" s="258"/>
    </row>
    <row r="69" spans="1:7" ht="15.75" x14ac:dyDescent="0.25">
      <c r="A69" s="260" t="s">
        <v>363</v>
      </c>
      <c r="B69" s="261">
        <f>B68/(1+0.115)^5</f>
        <v>5715.0206047860202</v>
      </c>
      <c r="C69" s="258"/>
      <c r="D69" s="258"/>
      <c r="E69" s="258"/>
      <c r="F69" s="258"/>
      <c r="G69" s="258"/>
    </row>
    <row r="70" spans="1:7" ht="21.75" customHeight="1" x14ac:dyDescent="0.25">
      <c r="A70" s="260" t="s">
        <v>341</v>
      </c>
      <c r="B70" s="259">
        <f>B47+B69</f>
        <v>6343.2608387462988</v>
      </c>
      <c r="C70" s="258"/>
      <c r="D70" s="258"/>
      <c r="E70" s="258"/>
      <c r="F70" s="258"/>
      <c r="G70" s="258"/>
    </row>
    <row r="71" spans="1:7" ht="41.25" customHeight="1" x14ac:dyDescent="0.25">
      <c r="A71" s="311" t="s">
        <v>311</v>
      </c>
      <c r="B71" s="311"/>
      <c r="C71" s="311"/>
      <c r="D71" s="311"/>
      <c r="E71" s="311"/>
      <c r="F71" s="311"/>
      <c r="G71" s="311"/>
    </row>
    <row r="72" spans="1:7" ht="21" customHeight="1" x14ac:dyDescent="0.25">
      <c r="A72" s="260" t="s">
        <v>341</v>
      </c>
      <c r="B72" s="261">
        <f>B70</f>
        <v>6343.2608387462988</v>
      </c>
      <c r="C72" s="258"/>
      <c r="D72" s="258"/>
      <c r="E72" s="258"/>
      <c r="F72" s="258"/>
      <c r="G72" s="258"/>
    </row>
    <row r="73" spans="1:7" ht="15.75" x14ac:dyDescent="0.25">
      <c r="A73" s="260" t="s">
        <v>340</v>
      </c>
      <c r="B73" s="263">
        <f>B63</f>
        <v>2070</v>
      </c>
      <c r="C73" s="258"/>
      <c r="D73" s="258"/>
      <c r="E73" s="258"/>
      <c r="F73" s="258"/>
      <c r="G73" s="258"/>
    </row>
    <row r="74" spans="1:7" ht="15.75" x14ac:dyDescent="0.25">
      <c r="A74" s="260" t="s">
        <v>336</v>
      </c>
      <c r="B74" s="259">
        <f>B72-B73</f>
        <v>4273.2608387462988</v>
      </c>
      <c r="C74" s="258"/>
      <c r="D74" s="258"/>
      <c r="E74" s="258"/>
      <c r="F74" s="258"/>
      <c r="G74" s="258"/>
    </row>
    <row r="75" spans="1:7" ht="42" customHeight="1" x14ac:dyDescent="0.25">
      <c r="A75" s="311" t="s">
        <v>310</v>
      </c>
      <c r="B75" s="311"/>
      <c r="C75" s="311"/>
      <c r="D75" s="311"/>
      <c r="E75" s="311"/>
      <c r="F75" s="311"/>
      <c r="G75" s="311"/>
    </row>
    <row r="76" spans="1:7" ht="15.75" x14ac:dyDescent="0.25">
      <c r="A76" s="258"/>
      <c r="B76" s="262" t="s">
        <v>339</v>
      </c>
      <c r="C76" s="262" t="s">
        <v>338</v>
      </c>
      <c r="D76" s="262" t="s">
        <v>337</v>
      </c>
      <c r="E76" s="258"/>
      <c r="F76" s="258"/>
      <c r="G76" s="258"/>
    </row>
    <row r="77" spans="1:7" ht="15.75" x14ac:dyDescent="0.25">
      <c r="A77" s="260" t="s">
        <v>336</v>
      </c>
      <c r="B77" s="261">
        <f>B56</f>
        <v>2227.2498069181429</v>
      </c>
      <c r="C77" s="261">
        <f>B64</f>
        <v>2501.0882577767015</v>
      </c>
      <c r="D77" s="261">
        <f>B74</f>
        <v>4273.2608387462988</v>
      </c>
      <c r="E77" s="258"/>
      <c r="F77" s="258"/>
      <c r="G77" s="258"/>
    </row>
    <row r="78" spans="1:7" ht="15.75" x14ac:dyDescent="0.25">
      <c r="A78" s="260" t="s">
        <v>335</v>
      </c>
      <c r="B78" s="261">
        <v>60</v>
      </c>
      <c r="C78" s="261">
        <v>60</v>
      </c>
      <c r="D78" s="261">
        <v>60</v>
      </c>
      <c r="E78" s="258"/>
      <c r="F78" s="258"/>
      <c r="G78" s="258"/>
    </row>
    <row r="79" spans="1:7" ht="21" customHeight="1" x14ac:dyDescent="0.25">
      <c r="A79" s="260" t="s">
        <v>334</v>
      </c>
      <c r="B79" s="259">
        <f>B77/B78</f>
        <v>37.120830115302383</v>
      </c>
      <c r="C79" s="259">
        <f>C77/C78</f>
        <v>41.684804296278358</v>
      </c>
      <c r="D79" s="259">
        <f>D77/D78</f>
        <v>71.221013979104981</v>
      </c>
      <c r="E79" s="258"/>
      <c r="F79" s="258"/>
      <c r="G79" s="258"/>
    </row>
    <row r="80" spans="1:7" ht="39.75" customHeight="1" x14ac:dyDescent="0.25">
      <c r="A80" s="311" t="s">
        <v>309</v>
      </c>
      <c r="B80" s="311"/>
      <c r="C80" s="311"/>
      <c r="D80" s="311"/>
      <c r="E80" s="311"/>
      <c r="F80" s="311"/>
      <c r="G80" s="311"/>
    </row>
    <row r="81" spans="1:7" ht="53.25" customHeight="1" x14ac:dyDescent="0.25">
      <c r="A81" s="312" t="s">
        <v>364</v>
      </c>
      <c r="B81" s="312"/>
      <c r="C81" s="312"/>
      <c r="D81" s="312"/>
      <c r="E81" s="312"/>
      <c r="F81" s="312"/>
      <c r="G81" s="312"/>
    </row>
  </sheetData>
  <mergeCells count="14">
    <mergeCell ref="A49:G49"/>
    <mergeCell ref="A2:F2"/>
    <mergeCell ref="A3:F3"/>
    <mergeCell ref="A4:F4"/>
    <mergeCell ref="A46:G46"/>
    <mergeCell ref="A48:G48"/>
    <mergeCell ref="A80:G80"/>
    <mergeCell ref="A81:G81"/>
    <mergeCell ref="A53:G53"/>
    <mergeCell ref="A57:G57"/>
    <mergeCell ref="A61:G61"/>
    <mergeCell ref="A65:G65"/>
    <mergeCell ref="A71:G71"/>
    <mergeCell ref="A75:G75"/>
  </mergeCells>
  <phoneticPr fontId="3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showGridLines="0" zoomScaleNormal="100" workbookViewId="0">
      <selection activeCell="A15" sqref="A15"/>
    </sheetView>
  </sheetViews>
  <sheetFormatPr defaultColWidth="9.28515625" defaultRowHeight="12.75" x14ac:dyDescent="0.2"/>
  <cols>
    <col min="1" max="1" width="35" style="25" bestFit="1" customWidth="1"/>
    <col min="2" max="2" width="11.28515625" style="25" bestFit="1" customWidth="1"/>
    <col min="3" max="3" width="18.28515625" style="25" bestFit="1" customWidth="1"/>
    <col min="4" max="4" width="13.42578125" style="25" customWidth="1"/>
    <col min="5" max="5" width="13.28515625" style="25" bestFit="1" customWidth="1"/>
    <col min="6" max="6" width="12" style="25" bestFit="1" customWidth="1"/>
    <col min="7" max="7" width="11.5703125" style="26" customWidth="1"/>
    <col min="8" max="16384" width="9.28515625" style="25"/>
  </cols>
  <sheetData>
    <row r="1" spans="1:7" s="5" customFormat="1" ht="18.75" x14ac:dyDescent="0.3">
      <c r="A1" s="7" t="s">
        <v>366</v>
      </c>
    </row>
    <row r="2" spans="1:7" ht="18.75" customHeight="1" x14ac:dyDescent="0.2">
      <c r="A2" s="278" t="s">
        <v>128</v>
      </c>
      <c r="B2" s="279"/>
      <c r="C2" s="279"/>
      <c r="D2" s="279"/>
      <c r="E2" s="279"/>
      <c r="F2" s="279"/>
    </row>
    <row r="3" spans="1:7" ht="18" customHeight="1" x14ac:dyDescent="0.2">
      <c r="A3" s="278" t="s">
        <v>367</v>
      </c>
      <c r="B3" s="280"/>
      <c r="C3" s="280"/>
      <c r="D3" s="280"/>
      <c r="E3" s="280"/>
      <c r="F3" s="280"/>
      <c r="G3" s="280"/>
    </row>
    <row r="4" spans="1:7" ht="45.75" customHeight="1" x14ac:dyDescent="0.2">
      <c r="A4" s="278" t="s">
        <v>127</v>
      </c>
      <c r="B4" s="280"/>
      <c r="C4" s="280"/>
      <c r="D4" s="280"/>
      <c r="E4" s="280"/>
      <c r="F4" s="280"/>
      <c r="G4" s="280"/>
    </row>
    <row r="5" spans="1:7" ht="44.25" customHeight="1" x14ac:dyDescent="0.2">
      <c r="A5" s="278" t="s">
        <v>126</v>
      </c>
      <c r="B5" s="280"/>
      <c r="C5" s="280"/>
      <c r="D5" s="280"/>
      <c r="E5" s="280"/>
      <c r="F5" s="280"/>
      <c r="G5" s="280"/>
    </row>
    <row r="6" spans="1:7" ht="17.25" customHeight="1" x14ac:dyDescent="0.2">
      <c r="A6" s="278" t="s">
        <v>125</v>
      </c>
      <c r="B6" s="280"/>
      <c r="C6" s="280"/>
      <c r="D6" s="280"/>
      <c r="E6" s="280"/>
      <c r="F6" s="280"/>
      <c r="G6" s="280"/>
    </row>
    <row r="7" spans="1:7" ht="19.5" customHeight="1" x14ac:dyDescent="0.2">
      <c r="A7" s="278" t="s">
        <v>124</v>
      </c>
      <c r="B7" s="280"/>
      <c r="C7" s="280"/>
      <c r="D7" s="280"/>
      <c r="E7" s="280"/>
      <c r="F7" s="280"/>
      <c r="G7" s="280"/>
    </row>
    <row r="8" spans="1:7" ht="17.25" customHeight="1" x14ac:dyDescent="0.2">
      <c r="A8" s="278" t="s">
        <v>351</v>
      </c>
      <c r="B8" s="280"/>
      <c r="C8" s="280"/>
      <c r="D8" s="280"/>
      <c r="E8" s="280"/>
      <c r="F8" s="280"/>
      <c r="G8" s="280"/>
    </row>
    <row r="9" spans="1:7" ht="35.25" customHeight="1" x14ac:dyDescent="0.2">
      <c r="A9" s="278" t="s">
        <v>123</v>
      </c>
      <c r="B9" s="280"/>
      <c r="C9" s="280"/>
      <c r="D9" s="280"/>
      <c r="E9" s="280"/>
      <c r="F9" s="280"/>
      <c r="G9" s="280"/>
    </row>
    <row r="10" spans="1:7" ht="15.75" x14ac:dyDescent="0.25">
      <c r="A10" s="63"/>
      <c r="B10" s="62"/>
      <c r="C10" s="62"/>
      <c r="D10" s="62"/>
      <c r="E10" s="62"/>
    </row>
    <row r="11" spans="1:7" ht="15.75" x14ac:dyDescent="0.25">
      <c r="A11" s="61" t="s">
        <v>122</v>
      </c>
      <c r="B11" s="61"/>
    </row>
    <row r="12" spans="1:7" s="3" customFormat="1" ht="22.5" customHeight="1" x14ac:dyDescent="0.25">
      <c r="A12" s="281" t="s">
        <v>119</v>
      </c>
      <c r="B12" s="282"/>
      <c r="C12" s="282"/>
      <c r="D12" s="282"/>
      <c r="G12" s="39"/>
    </row>
    <row r="13" spans="1:7" s="3" customFormat="1" x14ac:dyDescent="0.2">
      <c r="A13" s="283" t="s">
        <v>118</v>
      </c>
      <c r="B13" s="284"/>
      <c r="C13" s="284"/>
      <c r="D13" s="284"/>
      <c r="G13" s="39"/>
    </row>
    <row r="14" spans="1:7" s="3" customFormat="1" ht="9.75" customHeight="1" x14ac:dyDescent="0.2">
      <c r="A14" s="58"/>
      <c r="B14" s="1"/>
      <c r="C14" s="1"/>
      <c r="D14" s="1"/>
      <c r="E14" s="60"/>
      <c r="G14" s="39"/>
    </row>
    <row r="15" spans="1:7" s="1" customFormat="1" ht="51.75" x14ac:dyDescent="0.25">
      <c r="B15" s="59">
        <v>2011</v>
      </c>
      <c r="C15" s="58" t="s">
        <v>117</v>
      </c>
      <c r="D15" s="57" t="s">
        <v>368</v>
      </c>
      <c r="E15" s="57" t="s">
        <v>369</v>
      </c>
      <c r="F15" s="57" t="s">
        <v>370</v>
      </c>
      <c r="G15" s="57" t="s">
        <v>371</v>
      </c>
    </row>
    <row r="16" spans="1:7" s="3" customFormat="1" x14ac:dyDescent="0.2">
      <c r="C16" s="1"/>
      <c r="G16" s="56"/>
    </row>
    <row r="17" spans="1:8" s="3" customFormat="1" x14ac:dyDescent="0.2">
      <c r="A17" s="6" t="s">
        <v>8</v>
      </c>
      <c r="B17" s="46">
        <v>582.76199999999994</v>
      </c>
      <c r="C17" s="49">
        <v>0.12</v>
      </c>
      <c r="D17" s="39">
        <f>B17*(1+C17)</f>
        <v>652.69344000000001</v>
      </c>
      <c r="E17" s="39">
        <f>B17*(1+C17)</f>
        <v>652.69344000000001</v>
      </c>
      <c r="F17" s="39">
        <f>B17*(1+0.17)</f>
        <v>681.8315399999999</v>
      </c>
      <c r="G17" s="56">
        <f>B17*1.2</f>
        <v>699.31439999999986</v>
      </c>
    </row>
    <row r="18" spans="1:8" s="3" customFormat="1" x14ac:dyDescent="0.2">
      <c r="A18" s="6" t="s">
        <v>20</v>
      </c>
      <c r="B18" s="9">
        <v>240.828</v>
      </c>
      <c r="C18" s="49">
        <v>0.39</v>
      </c>
      <c r="D18" s="39">
        <f>D17*C18</f>
        <v>254.5504416</v>
      </c>
      <c r="E18" s="39">
        <f>C18*$D$17</f>
        <v>254.5504416</v>
      </c>
      <c r="F18" s="39">
        <f>C18*F17</f>
        <v>265.91430059999999</v>
      </c>
      <c r="G18" s="56">
        <f>0.38*G17</f>
        <v>265.73947199999998</v>
      </c>
    </row>
    <row r="19" spans="1:8" s="3" customFormat="1" x14ac:dyDescent="0.2">
      <c r="A19" s="6"/>
      <c r="B19" s="9"/>
      <c r="C19" s="1"/>
      <c r="D19" s="39"/>
      <c r="E19" s="39"/>
      <c r="F19" s="39"/>
      <c r="G19" s="56"/>
    </row>
    <row r="20" spans="1:8" s="3" customFormat="1" x14ac:dyDescent="0.2">
      <c r="A20" s="6" t="s">
        <v>19</v>
      </c>
      <c r="B20" s="43">
        <v>341.93399999999997</v>
      </c>
      <c r="C20" s="1"/>
      <c r="D20" s="42">
        <f>D17-D18</f>
        <v>398.14299840000001</v>
      </c>
      <c r="E20" s="42">
        <f>E17-E18</f>
        <v>398.14299840000001</v>
      </c>
      <c r="F20" s="42">
        <f>F17-F18</f>
        <v>415.91723939999991</v>
      </c>
      <c r="G20" s="42">
        <f>G17-G18</f>
        <v>433.57492799999989</v>
      </c>
    </row>
    <row r="21" spans="1:8" s="3" customFormat="1" x14ac:dyDescent="0.2">
      <c r="A21" s="6" t="s">
        <v>18</v>
      </c>
      <c r="B21" s="31">
        <v>257.50700000000001</v>
      </c>
      <c r="C21" s="49">
        <v>0.49</v>
      </c>
      <c r="D21" s="39">
        <f>D17*C21</f>
        <v>319.81978559999999</v>
      </c>
      <c r="E21" s="39">
        <f>C21*$D$17</f>
        <v>319.81978559999999</v>
      </c>
      <c r="F21" s="39">
        <f>$C$21*F17</f>
        <v>334.09745459999993</v>
      </c>
      <c r="G21" s="39">
        <f>$C$21*G17</f>
        <v>342.6640559999999</v>
      </c>
    </row>
    <row r="22" spans="1:8" s="3" customFormat="1" x14ac:dyDescent="0.2">
      <c r="A22" s="6"/>
      <c r="B22" s="9"/>
      <c r="C22" s="1"/>
      <c r="D22" s="39"/>
      <c r="E22" s="39"/>
      <c r="F22" s="39"/>
      <c r="G22" s="39"/>
    </row>
    <row r="23" spans="1:8" s="3" customFormat="1" x14ac:dyDescent="0.2">
      <c r="A23" s="6" t="s">
        <v>17</v>
      </c>
      <c r="B23" s="43">
        <v>84.426999999999964</v>
      </c>
      <c r="C23" s="1"/>
      <c r="D23" s="42">
        <f>D20-D21</f>
        <v>78.323212800000022</v>
      </c>
      <c r="E23" s="42">
        <f>E20-E21</f>
        <v>78.323212800000022</v>
      </c>
      <c r="F23" s="42">
        <f>F20-F21</f>
        <v>81.819784799999979</v>
      </c>
      <c r="G23" s="42">
        <f>G20-G21</f>
        <v>90.910871999999983</v>
      </c>
    </row>
    <row r="24" spans="1:8" s="3" customFormat="1" x14ac:dyDescent="0.2">
      <c r="A24" s="6" t="s">
        <v>121</v>
      </c>
      <c r="B24" s="31">
        <v>25.221</v>
      </c>
      <c r="C24" s="49">
        <v>0.3</v>
      </c>
      <c r="D24" s="39">
        <f>$C$24*$C$44*D17</f>
        <v>29.371204800000001</v>
      </c>
      <c r="E24" s="39">
        <f>$C$24*$C$44*E17</f>
        <v>29.371204800000001</v>
      </c>
      <c r="F24" s="39">
        <f>$C$24*$C$44*F17</f>
        <v>30.682419299999996</v>
      </c>
      <c r="G24" s="39">
        <f>$C$24*$C$44*G17</f>
        <v>31.469147999999993</v>
      </c>
    </row>
    <row r="25" spans="1:8" s="3" customFormat="1" x14ac:dyDescent="0.2">
      <c r="A25" s="6"/>
      <c r="B25" s="9"/>
      <c r="C25" s="1"/>
      <c r="D25" s="39"/>
      <c r="E25" s="39"/>
      <c r="F25" s="39"/>
      <c r="G25" s="39"/>
    </row>
    <row r="26" spans="1:8" s="3" customFormat="1" x14ac:dyDescent="0.2">
      <c r="A26" s="6" t="s">
        <v>16</v>
      </c>
      <c r="B26" s="43">
        <v>59.20599999999996</v>
      </c>
      <c r="C26" s="1"/>
      <c r="D26" s="42">
        <f>D23-D24</f>
        <v>48.952008000000021</v>
      </c>
      <c r="E26" s="42">
        <f>E23-E24</f>
        <v>48.952008000000021</v>
      </c>
      <c r="F26" s="42">
        <f>F23-F24</f>
        <v>51.137365499999987</v>
      </c>
      <c r="G26" s="42">
        <f>G23-G24</f>
        <v>59.441723999999994</v>
      </c>
    </row>
    <row r="27" spans="1:8" s="3" customFormat="1" x14ac:dyDescent="0.2">
      <c r="A27" s="6" t="s">
        <v>15</v>
      </c>
      <c r="B27" s="31">
        <v>16.43</v>
      </c>
      <c r="C27" s="1" t="s">
        <v>113</v>
      </c>
      <c r="D27" s="38">
        <f>B27</f>
        <v>16.43</v>
      </c>
      <c r="E27" s="39">
        <f ca="1">IF(E55&gt;0,(0.1*E55),0)</f>
        <v>18.636266909090917</v>
      </c>
      <c r="F27" s="39">
        <f ca="1">IF(F55&gt;0,(0.1*F55),0)</f>
        <v>19.481583446524066</v>
      </c>
      <c r="G27" s="39">
        <f ca="1">IF(G55&gt;0,(0.1*G55),0)</f>
        <v>15.762969775401068</v>
      </c>
    </row>
    <row r="28" spans="1:8" s="3" customFormat="1" x14ac:dyDescent="0.2">
      <c r="A28" s="6"/>
      <c r="B28" s="9"/>
      <c r="C28" s="1"/>
      <c r="D28" s="39"/>
      <c r="E28" s="39"/>
      <c r="F28" s="39"/>
      <c r="G28" s="39"/>
    </row>
    <row r="29" spans="1:8" x14ac:dyDescent="0.2">
      <c r="A29" s="6" t="s">
        <v>13</v>
      </c>
      <c r="B29" s="43">
        <v>42.775999999999961</v>
      </c>
      <c r="C29" s="33"/>
      <c r="D29" s="42">
        <f>D26-D27</f>
        <v>32.522008000000021</v>
      </c>
      <c r="E29" s="42">
        <f ca="1">E26-E27</f>
        <v>30.315741090909103</v>
      </c>
      <c r="F29" s="42">
        <f ca="1">F26-F27</f>
        <v>31.655782053475921</v>
      </c>
      <c r="G29" s="42">
        <f ca="1">G26-G27</f>
        <v>43.678754224598926</v>
      </c>
    </row>
    <row r="30" spans="1:8" x14ac:dyDescent="0.2">
      <c r="A30" s="6" t="s">
        <v>12</v>
      </c>
      <c r="B30" s="55">
        <v>14.971</v>
      </c>
      <c r="C30" s="44">
        <v>0.35</v>
      </c>
      <c r="D30" s="54">
        <f>D29*C30</f>
        <v>11.382702800000006</v>
      </c>
      <c r="E30" s="54">
        <f ca="1">C30*E29</f>
        <v>10.610509381818186</v>
      </c>
      <c r="F30" s="54">
        <f ca="1">$C$30*F29</f>
        <v>11.079523718716572</v>
      </c>
      <c r="G30" s="54">
        <f ca="1">$C$30*G29</f>
        <v>15.287563978609622</v>
      </c>
      <c r="H30" s="26"/>
    </row>
    <row r="31" spans="1:8" x14ac:dyDescent="0.2">
      <c r="A31" s="6"/>
      <c r="B31" s="9"/>
      <c r="C31" s="1"/>
      <c r="D31" s="39"/>
      <c r="E31" s="26"/>
      <c r="F31" s="26"/>
    </row>
    <row r="32" spans="1:8" ht="15.75" thickBot="1" x14ac:dyDescent="0.4">
      <c r="A32" s="6" t="s">
        <v>4</v>
      </c>
      <c r="B32" s="53">
        <v>27.805</v>
      </c>
      <c r="C32" s="1"/>
      <c r="D32" s="34">
        <f>D29-D30</f>
        <v>21.139305200000017</v>
      </c>
      <c r="E32" s="34">
        <f ca="1">E29-E30</f>
        <v>19.705231709090917</v>
      </c>
      <c r="F32" s="34">
        <f ca="1">F29-F30</f>
        <v>20.576258334759348</v>
      </c>
      <c r="G32" s="34">
        <f ca="1">G29-G30</f>
        <v>28.391190245989304</v>
      </c>
    </row>
    <row r="33" spans="1:7" ht="13.5" thickTop="1" x14ac:dyDescent="0.2">
      <c r="A33" s="6"/>
      <c r="B33" s="9"/>
      <c r="C33" s="1"/>
      <c r="D33" s="35"/>
      <c r="E33" s="28"/>
      <c r="G33" s="41"/>
    </row>
    <row r="34" spans="1:7" x14ac:dyDescent="0.2">
      <c r="A34" s="52" t="s">
        <v>116</v>
      </c>
      <c r="B34" s="51"/>
      <c r="C34" s="1"/>
      <c r="D34" s="35"/>
      <c r="E34" s="28"/>
      <c r="G34" s="41"/>
    </row>
    <row r="35" spans="1:7" ht="13.5" x14ac:dyDescent="0.25">
      <c r="A35" s="6"/>
      <c r="B35" s="50"/>
      <c r="C35" s="1"/>
      <c r="D35" s="35"/>
      <c r="E35" s="28"/>
      <c r="G35" s="41"/>
    </row>
    <row r="36" spans="1:7" x14ac:dyDescent="0.2">
      <c r="A36" s="6" t="s">
        <v>48</v>
      </c>
      <c r="B36" s="8"/>
      <c r="C36" s="1"/>
      <c r="D36" s="35"/>
      <c r="E36" s="28"/>
      <c r="F36" s="26"/>
      <c r="G36" s="41"/>
    </row>
    <row r="37" spans="1:7" x14ac:dyDescent="0.2">
      <c r="A37" s="6" t="s">
        <v>115</v>
      </c>
      <c r="B37" s="46">
        <v>7.1519999999999868</v>
      </c>
      <c r="C37" s="44">
        <v>0.02</v>
      </c>
      <c r="D37" s="35">
        <f>C37*$D$17</f>
        <v>13.0538688</v>
      </c>
      <c r="E37" s="35">
        <f>IF(D69&lt;0,D37-D69,D37)</f>
        <v>13.0538688</v>
      </c>
      <c r="F37" s="39">
        <f>$C$37*F17</f>
        <v>13.636630799999999</v>
      </c>
      <c r="G37" s="39">
        <f>$C$37*G17</f>
        <v>13.986287999999998</v>
      </c>
    </row>
    <row r="38" spans="1:7" x14ac:dyDescent="0.2">
      <c r="A38" s="6" t="s">
        <v>114</v>
      </c>
      <c r="B38" s="9">
        <v>70.537999999999997</v>
      </c>
      <c r="C38" s="44">
        <v>0.13</v>
      </c>
      <c r="D38" s="35">
        <f>C38*$D$17</f>
        <v>84.850147200000009</v>
      </c>
      <c r="E38" s="35">
        <f>C38*$D$17</f>
        <v>84.850147200000009</v>
      </c>
      <c r="F38" s="39">
        <f>$C$38*F17</f>
        <v>88.638100199999997</v>
      </c>
      <c r="G38" s="39">
        <f>0.1*G17</f>
        <v>69.931439999999995</v>
      </c>
    </row>
    <row r="39" spans="1:7" x14ac:dyDescent="0.2">
      <c r="A39" s="6" t="s">
        <v>0</v>
      </c>
      <c r="B39" s="9">
        <v>39.033000000000001</v>
      </c>
      <c r="C39" s="44">
        <v>0.05</v>
      </c>
      <c r="D39" s="35">
        <f>$C$39*D17</f>
        <v>32.634672000000002</v>
      </c>
      <c r="E39" s="35">
        <f>C39*$D$17</f>
        <v>32.634672000000002</v>
      </c>
      <c r="F39" s="39">
        <f>$C$39*F17</f>
        <v>34.091576999999994</v>
      </c>
      <c r="G39" s="39">
        <f>0.03*G17</f>
        <v>20.979431999999996</v>
      </c>
    </row>
    <row r="40" spans="1:7" x14ac:dyDescent="0.2">
      <c r="A40" s="6" t="s">
        <v>46</v>
      </c>
      <c r="B40" s="9">
        <v>9.3390000000000004</v>
      </c>
      <c r="C40" s="44" t="s">
        <v>109</v>
      </c>
      <c r="D40" s="35">
        <f>B40</f>
        <v>9.3390000000000004</v>
      </c>
      <c r="E40" s="35">
        <f>D40</f>
        <v>9.3390000000000004</v>
      </c>
      <c r="F40" s="39">
        <f>$B$40</f>
        <v>9.3390000000000004</v>
      </c>
      <c r="G40" s="39">
        <f>$B$40</f>
        <v>9.3390000000000004</v>
      </c>
    </row>
    <row r="41" spans="1:7" x14ac:dyDescent="0.2">
      <c r="A41" s="6" t="s">
        <v>45</v>
      </c>
      <c r="B41" s="9">
        <v>27.076000000000001</v>
      </c>
      <c r="C41" s="44">
        <v>0.06</v>
      </c>
      <c r="D41" s="35">
        <f>C41*$D$17</f>
        <v>39.161606399999997</v>
      </c>
      <c r="E41" s="35">
        <f>C41*$D$17</f>
        <v>39.161606399999997</v>
      </c>
      <c r="F41" s="39">
        <f>$C$41*F17</f>
        <v>40.90989239999999</v>
      </c>
      <c r="G41" s="39">
        <f>$C$41*G17</f>
        <v>41.958863999999991</v>
      </c>
    </row>
    <row r="42" spans="1:7" x14ac:dyDescent="0.2">
      <c r="A42" s="10" t="s">
        <v>44</v>
      </c>
      <c r="B42" s="43">
        <v>153.13799999999998</v>
      </c>
      <c r="C42" s="1"/>
      <c r="D42" s="36">
        <f>SUM(D37:D41)</f>
        <v>179.03929440000002</v>
      </c>
      <c r="E42" s="36">
        <f>SUM(E37:E41)</f>
        <v>179.03929440000002</v>
      </c>
      <c r="F42" s="42">
        <f>SUM(F37:F41)</f>
        <v>186.61520039999999</v>
      </c>
      <c r="G42" s="42">
        <f>SUM(G37:G41)</f>
        <v>156.19502399999999</v>
      </c>
    </row>
    <row r="43" spans="1:7" x14ac:dyDescent="0.2">
      <c r="A43" s="6"/>
      <c r="B43" s="9"/>
      <c r="C43" s="1"/>
      <c r="D43" s="39"/>
      <c r="E43" s="28"/>
      <c r="F43" s="26"/>
      <c r="G43" s="41"/>
    </row>
    <row r="44" spans="1:7" x14ac:dyDescent="0.2">
      <c r="A44" s="6" t="s">
        <v>41</v>
      </c>
      <c r="B44" s="43">
        <v>81.647999999999996</v>
      </c>
      <c r="C44" s="44">
        <v>0.15</v>
      </c>
      <c r="D44" s="39">
        <f>C44*$D$17</f>
        <v>97.904015999999999</v>
      </c>
      <c r="E44" s="35">
        <f>C44*$D$17</f>
        <v>97.904015999999999</v>
      </c>
      <c r="F44" s="39">
        <f>$C$44*F17</f>
        <v>102.27473099999999</v>
      </c>
      <c r="G44" s="39">
        <f>$C$44*G17</f>
        <v>104.89715999999997</v>
      </c>
    </row>
    <row r="45" spans="1:7" x14ac:dyDescent="0.2">
      <c r="A45" s="6" t="s">
        <v>40</v>
      </c>
      <c r="B45" s="9">
        <v>9.4149999999999991</v>
      </c>
      <c r="C45" s="1" t="s">
        <v>109</v>
      </c>
      <c r="D45" s="38">
        <f>B45</f>
        <v>9.4149999999999991</v>
      </c>
      <c r="E45" s="37">
        <f>B45</f>
        <v>9.4149999999999991</v>
      </c>
      <c r="F45" s="38">
        <f>$B$45</f>
        <v>9.4149999999999991</v>
      </c>
      <c r="G45" s="38">
        <f>$B$45</f>
        <v>9.4149999999999991</v>
      </c>
    </row>
    <row r="46" spans="1:7" x14ac:dyDescent="0.2">
      <c r="A46" s="6" t="s">
        <v>39</v>
      </c>
      <c r="B46" s="9">
        <v>24.641999999999999</v>
      </c>
      <c r="C46" s="49">
        <v>0.05</v>
      </c>
      <c r="D46" s="38">
        <f>D17*$C$46</f>
        <v>32.634672000000002</v>
      </c>
      <c r="E46" s="37">
        <f>E17*$C$46</f>
        <v>32.634672000000002</v>
      </c>
      <c r="F46" s="38">
        <f>F17*$C$46</f>
        <v>34.091576999999994</v>
      </c>
      <c r="G46" s="38">
        <f>G17*$C$46</f>
        <v>34.965719999999997</v>
      </c>
    </row>
    <row r="47" spans="1:7" ht="15" x14ac:dyDescent="0.35">
      <c r="A47" s="10" t="s">
        <v>38</v>
      </c>
      <c r="B47" s="48">
        <v>268.84299999999996</v>
      </c>
      <c r="C47" s="1"/>
      <c r="D47" s="42">
        <f>D42+D44+D45+D46</f>
        <v>318.99298240000007</v>
      </c>
      <c r="E47" s="47">
        <f>E42+E44+E45+E46</f>
        <v>318.99298240000007</v>
      </c>
      <c r="F47" s="47">
        <f>F42+F44+F45+F46</f>
        <v>332.39650839999996</v>
      </c>
      <c r="G47" s="47">
        <f>G42+G44+G45+G46</f>
        <v>305.47290399999997</v>
      </c>
    </row>
    <row r="48" spans="1:7" x14ac:dyDescent="0.2">
      <c r="A48" s="6"/>
      <c r="B48" s="9"/>
      <c r="C48" s="1"/>
      <c r="D48" s="39"/>
      <c r="E48" s="28"/>
      <c r="G48" s="41"/>
    </row>
    <row r="49" spans="1:7" x14ac:dyDescent="0.2">
      <c r="A49" s="6" t="s">
        <v>37</v>
      </c>
      <c r="B49" s="9"/>
      <c r="C49" s="1"/>
      <c r="D49" s="39"/>
      <c r="E49" s="28"/>
      <c r="G49" s="41"/>
    </row>
    <row r="50" spans="1:7" x14ac:dyDescent="0.2">
      <c r="A50" s="6" t="s">
        <v>35</v>
      </c>
      <c r="B50" s="46">
        <v>36.951000000000001</v>
      </c>
      <c r="C50" s="44">
        <v>0.06</v>
      </c>
      <c r="D50" s="39">
        <f>$C$50*D17</f>
        <v>39.161606399999997</v>
      </c>
      <c r="E50" s="35">
        <f>C50*$D$17</f>
        <v>39.161606399999997</v>
      </c>
      <c r="F50" s="35">
        <f>$C$50*F17</f>
        <v>40.90989239999999</v>
      </c>
      <c r="G50" s="35">
        <f>$C$50*G17</f>
        <v>41.958863999999991</v>
      </c>
    </row>
    <row r="51" spans="1:7" x14ac:dyDescent="0.2">
      <c r="A51" s="6" t="s">
        <v>33</v>
      </c>
      <c r="B51" s="9">
        <v>31.206</v>
      </c>
      <c r="C51" s="44">
        <v>0.05</v>
      </c>
      <c r="D51" s="39">
        <f>C51*$D$17</f>
        <v>32.634672000000002</v>
      </c>
      <c r="E51" s="35">
        <f>C51*$D$17</f>
        <v>32.634672000000002</v>
      </c>
      <c r="F51" s="35">
        <f>$C$51*F17</f>
        <v>34.091576999999994</v>
      </c>
      <c r="G51" s="35">
        <f>$C$51*G17</f>
        <v>34.965719999999997</v>
      </c>
    </row>
    <row r="52" spans="1:7" x14ac:dyDescent="0.2">
      <c r="A52" s="6" t="s">
        <v>32</v>
      </c>
      <c r="B52" s="9">
        <v>3.6629999999999998</v>
      </c>
      <c r="C52" s="33" t="s">
        <v>109</v>
      </c>
      <c r="D52" s="38">
        <f>B52</f>
        <v>3.6629999999999998</v>
      </c>
      <c r="E52" s="37">
        <f>B52</f>
        <v>3.6629999999999998</v>
      </c>
      <c r="F52" s="37">
        <f>$B$52</f>
        <v>3.6629999999999998</v>
      </c>
      <c r="G52" s="37">
        <f>$B$52</f>
        <v>3.6629999999999998</v>
      </c>
    </row>
    <row r="53" spans="1:7" x14ac:dyDescent="0.2">
      <c r="A53" s="10" t="s">
        <v>31</v>
      </c>
      <c r="B53" s="43">
        <v>71.819999999999993</v>
      </c>
      <c r="C53" s="33"/>
      <c r="D53" s="42">
        <f>SUM(D50:D52)</f>
        <v>75.459278400000002</v>
      </c>
      <c r="E53" s="36">
        <f>SUM(E50:E52)</f>
        <v>75.459278400000002</v>
      </c>
      <c r="F53" s="36">
        <f>SUM(F50:F52)</f>
        <v>78.664469399999987</v>
      </c>
      <c r="G53" s="36">
        <f>SUM(G50:G52)</f>
        <v>80.587583999999978</v>
      </c>
    </row>
    <row r="54" spans="1:7" x14ac:dyDescent="0.2">
      <c r="A54" s="6"/>
      <c r="B54" s="9"/>
      <c r="C54" s="1"/>
      <c r="D54" s="39"/>
      <c r="E54" s="28"/>
      <c r="G54" s="41"/>
    </row>
    <row r="55" spans="1:7" x14ac:dyDescent="0.2">
      <c r="A55" s="6" t="s">
        <v>30</v>
      </c>
      <c r="B55" s="9">
        <v>157.72</v>
      </c>
      <c r="C55" s="1" t="s">
        <v>113</v>
      </c>
      <c r="D55" s="38">
        <f>B55</f>
        <v>157.72</v>
      </c>
      <c r="E55" s="45">
        <f ca="1">IF(D69&gt;0,E47-E53-E56-E65,0)</f>
        <v>186.36266909090915</v>
      </c>
      <c r="F55" s="45">
        <f ca="1">IF(F47-F53-F56-F65&gt;0,F47-F53-F56-F65,0)</f>
        <v>194.81583446524064</v>
      </c>
      <c r="G55" s="45">
        <f ca="1">IF(G47-G53-G56-G65&gt;0,G47-G53-G56-G65,0)</f>
        <v>157.62969775401066</v>
      </c>
    </row>
    <row r="56" spans="1:7" x14ac:dyDescent="0.2">
      <c r="A56" s="6" t="s">
        <v>112</v>
      </c>
      <c r="B56" s="9">
        <v>21.417999999999999</v>
      </c>
      <c r="C56" s="44">
        <v>0.03</v>
      </c>
      <c r="D56" s="39">
        <f>C56*$D$17</f>
        <v>19.580803199999998</v>
      </c>
      <c r="E56" s="35">
        <f>C56*$D$17</f>
        <v>19.580803199999998</v>
      </c>
      <c r="F56" s="35">
        <f>$C$56*F17</f>
        <v>20.454946199999995</v>
      </c>
      <c r="G56" s="35">
        <f>$C$56*G17</f>
        <v>20.979431999999996</v>
      </c>
    </row>
    <row r="57" spans="1:7" x14ac:dyDescent="0.2">
      <c r="A57" s="10" t="s">
        <v>111</v>
      </c>
      <c r="B57" s="43">
        <v>250.958</v>
      </c>
      <c r="C57" s="1"/>
      <c r="D57" s="42">
        <f>D53+D55+D56</f>
        <v>252.76008159999998</v>
      </c>
      <c r="E57" s="36">
        <f ca="1">E53+E55+E56</f>
        <v>281.40275069090916</v>
      </c>
      <c r="F57" s="36">
        <f ca="1">F53+F55+F56</f>
        <v>293.93525006524061</v>
      </c>
      <c r="G57" s="36">
        <f ca="1">G53+G55+G56</f>
        <v>259.1967137540106</v>
      </c>
    </row>
    <row r="58" spans="1:7" x14ac:dyDescent="0.2">
      <c r="A58" s="6"/>
      <c r="B58" s="9"/>
      <c r="C58" s="1"/>
      <c r="D58" s="39"/>
      <c r="E58" s="28"/>
      <c r="G58" s="41"/>
    </row>
    <row r="59" spans="1:7" x14ac:dyDescent="0.2">
      <c r="A59" s="6" t="s">
        <v>26</v>
      </c>
      <c r="B59" s="9"/>
      <c r="C59" s="1"/>
      <c r="D59" s="39"/>
      <c r="E59" s="28"/>
      <c r="G59" s="41"/>
    </row>
    <row r="60" spans="1:7" x14ac:dyDescent="0.2">
      <c r="A60" s="6" t="s">
        <v>2</v>
      </c>
      <c r="B60" s="9">
        <v>1.702</v>
      </c>
      <c r="C60" s="1" t="s">
        <v>109</v>
      </c>
      <c r="D60" s="38">
        <f>B60</f>
        <v>1.702</v>
      </c>
      <c r="E60" s="37">
        <f>B60</f>
        <v>1.702</v>
      </c>
      <c r="F60" s="37">
        <f>$B$60</f>
        <v>1.702</v>
      </c>
      <c r="G60" s="37">
        <f>$B$60</f>
        <v>1.702</v>
      </c>
    </row>
    <row r="61" spans="1:7" x14ac:dyDescent="0.2">
      <c r="A61" s="6" t="s">
        <v>25</v>
      </c>
      <c r="B61" s="9">
        <v>55.512999999999998</v>
      </c>
      <c r="C61" s="1" t="s">
        <v>109</v>
      </c>
      <c r="D61" s="38">
        <f>B61</f>
        <v>55.512999999999998</v>
      </c>
      <c r="E61" s="37">
        <f>B61</f>
        <v>55.512999999999998</v>
      </c>
      <c r="F61" s="37">
        <f>$B$61</f>
        <v>55.512999999999998</v>
      </c>
      <c r="G61" s="37">
        <f>$B$61</f>
        <v>55.512999999999998</v>
      </c>
    </row>
    <row r="62" spans="1:7" ht="25.5" x14ac:dyDescent="0.2">
      <c r="A62" s="6" t="s">
        <v>3</v>
      </c>
      <c r="B62" s="9">
        <v>118.729</v>
      </c>
      <c r="C62" s="40" t="s">
        <v>110</v>
      </c>
      <c r="D62" s="39">
        <f>B62+D32</f>
        <v>139.86830520000001</v>
      </c>
      <c r="E62" s="35">
        <f ca="1">B62+E32</f>
        <v>138.43423170909091</v>
      </c>
      <c r="F62" s="35">
        <f ca="1">$B$62+F32</f>
        <v>139.30525833475934</v>
      </c>
      <c r="G62" s="35">
        <f ca="1">$B$62+G32</f>
        <v>147.12019024598931</v>
      </c>
    </row>
    <row r="63" spans="1:7" x14ac:dyDescent="0.2">
      <c r="A63" s="6" t="s">
        <v>24</v>
      </c>
      <c r="B63" s="9">
        <v>158.059</v>
      </c>
      <c r="C63" s="1" t="s">
        <v>109</v>
      </c>
      <c r="D63" s="38">
        <f>B63</f>
        <v>158.059</v>
      </c>
      <c r="E63" s="37">
        <f>D63</f>
        <v>158.059</v>
      </c>
      <c r="F63" s="37">
        <f>$B$63</f>
        <v>158.059</v>
      </c>
      <c r="G63" s="37">
        <f>$B$63</f>
        <v>158.059</v>
      </c>
    </row>
    <row r="64" spans="1:7" x14ac:dyDescent="0.2">
      <c r="A64" s="6"/>
      <c r="B64" s="9"/>
      <c r="C64" s="1"/>
      <c r="D64" s="35"/>
      <c r="E64" s="28"/>
      <c r="G64" s="25"/>
    </row>
    <row r="65" spans="1:7" x14ac:dyDescent="0.2">
      <c r="A65" s="10" t="s">
        <v>23</v>
      </c>
      <c r="B65" s="31">
        <v>17.885000000000002</v>
      </c>
      <c r="C65" s="33"/>
      <c r="D65" s="36">
        <f>SUM(D60:D62)-D63</f>
        <v>39.024305200000015</v>
      </c>
      <c r="E65" s="36">
        <f ca="1">SUM(E60:E62)-E63</f>
        <v>37.590231709090915</v>
      </c>
      <c r="F65" s="36">
        <f ca="1">SUM(F60:F62)-F63</f>
        <v>38.46125833475935</v>
      </c>
      <c r="G65" s="36">
        <f ca="1">SUM(G60:G62)-G63</f>
        <v>46.276190245989312</v>
      </c>
    </row>
    <row r="66" spans="1:7" x14ac:dyDescent="0.2">
      <c r="A66" s="6"/>
      <c r="B66" s="9"/>
      <c r="C66" s="1"/>
      <c r="D66" s="35"/>
      <c r="E66" s="28"/>
      <c r="G66" s="25"/>
    </row>
    <row r="67" spans="1:7" ht="15" x14ac:dyDescent="0.35">
      <c r="A67" s="6" t="s">
        <v>22</v>
      </c>
      <c r="B67" s="34">
        <v>268.84299999999996</v>
      </c>
      <c r="C67" s="33"/>
      <c r="D67" s="32">
        <f>D65+D57</f>
        <v>291.78438679999999</v>
      </c>
      <c r="E67" s="32">
        <f ca="1">E65+E57</f>
        <v>318.99298240000007</v>
      </c>
      <c r="F67" s="32">
        <f ca="1">F65+F57</f>
        <v>332.39650839999996</v>
      </c>
      <c r="G67" s="32">
        <f ca="1">G65+G57</f>
        <v>305.47290399999991</v>
      </c>
    </row>
    <row r="68" spans="1:7" x14ac:dyDescent="0.2">
      <c r="B68" s="31"/>
      <c r="C68" s="3"/>
      <c r="E68" s="28"/>
      <c r="G68" s="25"/>
    </row>
    <row r="69" spans="1:7" s="3" customFormat="1" x14ac:dyDescent="0.2">
      <c r="A69" s="30" t="s">
        <v>120</v>
      </c>
      <c r="B69" s="9"/>
      <c r="D69" s="29">
        <f>D47-D67</f>
        <v>27.208595600000081</v>
      </c>
      <c r="E69" s="29"/>
      <c r="F69" s="29"/>
      <c r="G69" s="29"/>
    </row>
    <row r="70" spans="1:7" x14ac:dyDescent="0.2">
      <c r="D70" s="27"/>
    </row>
    <row r="71" spans="1:7" x14ac:dyDescent="0.2">
      <c r="D71" s="27"/>
      <c r="E71" s="28"/>
    </row>
    <row r="72" spans="1:7" x14ac:dyDescent="0.2">
      <c r="E72" s="27"/>
    </row>
  </sheetData>
  <mergeCells count="10">
    <mergeCell ref="A13:D13"/>
    <mergeCell ref="A6:G6"/>
    <mergeCell ref="A7:G7"/>
    <mergeCell ref="A8:G8"/>
    <mergeCell ref="A9:G9"/>
    <mergeCell ref="A2:F2"/>
    <mergeCell ref="A3:G3"/>
    <mergeCell ref="A4:G4"/>
    <mergeCell ref="A5:G5"/>
    <mergeCell ref="A12:D12"/>
  </mergeCells>
  <phoneticPr fontId="39"/>
  <pageMargins left="0.75" right="0.75" top="1" bottom="0.49" header="0.5" footer="0.5"/>
  <pageSetup orientation="landscape" r:id="rId1"/>
  <headerFooter alignWithMargins="0">
    <oddHeader>&amp;R&amp;"Times New Roman,Regular"&amp;8&amp;D</oddHeader>
    <oddFooter>&amp;R&amp;P</oddFooter>
  </headerFooter>
  <rowBreaks count="2" manualBreakCount="2">
    <brk id="10" max="16383" man="1"/>
    <brk id="3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showGridLines="0" zoomScaleNormal="100" workbookViewId="0">
      <selection activeCell="D5" sqref="D5"/>
    </sheetView>
  </sheetViews>
  <sheetFormatPr defaultColWidth="9.28515625" defaultRowHeight="12.75" x14ac:dyDescent="0.2"/>
  <cols>
    <col min="1" max="1" width="32.28515625" style="39" bestFit="1" customWidth="1"/>
    <col min="2" max="2" width="10" style="39" bestFit="1" customWidth="1"/>
    <col min="3" max="3" width="15.28515625" style="64" bestFit="1" customWidth="1"/>
    <col min="4" max="5" width="11.7109375" style="39" customWidth="1"/>
    <col min="6" max="7" width="10.7109375" style="39" customWidth="1"/>
    <col min="8" max="9" width="10.5703125" style="56" customWidth="1"/>
    <col min="10" max="10" width="9.28515625" style="56" bestFit="1" customWidth="1"/>
    <col min="11" max="11" width="10.7109375" style="56" customWidth="1"/>
    <col min="12" max="12" width="9.28515625" style="56" bestFit="1" customWidth="1"/>
    <col min="13" max="13" width="10.7109375" style="39" customWidth="1"/>
    <col min="14" max="16384" width="9.28515625" style="39"/>
  </cols>
  <sheetData>
    <row r="1" spans="1:12" s="5" customFormat="1" ht="18.75" x14ac:dyDescent="0.3">
      <c r="A1" s="7" t="s">
        <v>129</v>
      </c>
    </row>
    <row r="2" spans="1:12" ht="15.75" x14ac:dyDescent="0.25">
      <c r="A2" s="281" t="s">
        <v>119</v>
      </c>
      <c r="B2" s="282"/>
      <c r="C2" s="282"/>
      <c r="D2" s="282"/>
      <c r="E2" s="75"/>
    </row>
    <row r="3" spans="1:12" x14ac:dyDescent="0.2">
      <c r="A3" s="286" t="s">
        <v>118</v>
      </c>
      <c r="B3" s="287"/>
      <c r="C3" s="287"/>
      <c r="D3" s="287"/>
      <c r="E3" s="75"/>
    </row>
    <row r="4" spans="1:12" ht="18.75" customHeight="1" x14ac:dyDescent="0.2">
      <c r="A4" s="80"/>
      <c r="B4" s="75"/>
      <c r="C4" s="44"/>
      <c r="D4" s="286" t="s">
        <v>372</v>
      </c>
      <c r="E4" s="286"/>
      <c r="F4" s="286"/>
      <c r="G4" s="286"/>
      <c r="H4" s="286"/>
    </row>
    <row r="5" spans="1:12" ht="13.5" x14ac:dyDescent="0.25">
      <c r="B5" s="59">
        <v>2011</v>
      </c>
      <c r="C5" s="79" t="s">
        <v>117</v>
      </c>
      <c r="D5" s="78">
        <v>2012</v>
      </c>
      <c r="E5" s="78">
        <v>2013</v>
      </c>
      <c r="F5" s="78">
        <v>2014</v>
      </c>
      <c r="G5" s="78">
        <v>2015</v>
      </c>
      <c r="H5" s="78">
        <v>2016</v>
      </c>
      <c r="I5" s="77"/>
      <c r="J5" s="76"/>
      <c r="K5" s="76"/>
      <c r="L5" s="76"/>
    </row>
    <row r="6" spans="1:12" x14ac:dyDescent="0.2">
      <c r="C6" s="44"/>
    </row>
    <row r="7" spans="1:12" x14ac:dyDescent="0.2">
      <c r="A7" s="39" t="s">
        <v>8</v>
      </c>
      <c r="B7" s="46">
        <v>582.76199999999994</v>
      </c>
      <c r="C7" s="49">
        <v>0.12</v>
      </c>
      <c r="D7" s="39">
        <f>B7*(1+$C$7)</f>
        <v>652.69344000000001</v>
      </c>
      <c r="E7" s="39">
        <f>D7*(1+$C$7)</f>
        <v>731.01665280000009</v>
      </c>
      <c r="F7" s="39">
        <f>E7*(1+$C$7)</f>
        <v>818.73865113600016</v>
      </c>
      <c r="G7" s="39">
        <f>F7*(1+$C$7)</f>
        <v>916.98728927232025</v>
      </c>
      <c r="H7" s="39">
        <f>G7*(1+$C$7)</f>
        <v>1027.0257639849988</v>
      </c>
    </row>
    <row r="8" spans="1:12" x14ac:dyDescent="0.2">
      <c r="A8" s="39" t="s">
        <v>20</v>
      </c>
      <c r="B8" s="9">
        <v>240.828</v>
      </c>
      <c r="C8" s="49">
        <v>0.39</v>
      </c>
      <c r="D8" s="39">
        <f>$C$8*D7</f>
        <v>254.5504416</v>
      </c>
      <c r="E8" s="39">
        <f>$C$8*E7</f>
        <v>285.09649459200006</v>
      </c>
      <c r="F8" s="39">
        <f>$C$8*F7</f>
        <v>319.30807394304009</v>
      </c>
      <c r="G8" s="39">
        <f>$C$8*G7</f>
        <v>357.62504281620494</v>
      </c>
      <c r="H8" s="39">
        <f>$C$8*H7</f>
        <v>400.54004795414954</v>
      </c>
    </row>
    <row r="9" spans="1:12" x14ac:dyDescent="0.2">
      <c r="B9" s="9"/>
      <c r="C9" s="1"/>
      <c r="H9" s="39"/>
    </row>
    <row r="10" spans="1:12" x14ac:dyDescent="0.2">
      <c r="A10" s="39" t="s">
        <v>19</v>
      </c>
      <c r="B10" s="43">
        <v>341.93399999999997</v>
      </c>
      <c r="C10" s="1"/>
      <c r="D10" s="42">
        <f>D7-D8</f>
        <v>398.14299840000001</v>
      </c>
      <c r="E10" s="42">
        <f>E7-E8</f>
        <v>445.92015820800003</v>
      </c>
      <c r="F10" s="42">
        <f>F7-F8</f>
        <v>499.43057719296007</v>
      </c>
      <c r="G10" s="42">
        <f>G7-G8</f>
        <v>559.36224645611537</v>
      </c>
      <c r="H10" s="42">
        <f>H7-H8</f>
        <v>626.48571603084929</v>
      </c>
      <c r="I10" s="38"/>
      <c r="J10" s="38"/>
      <c r="K10" s="38"/>
      <c r="L10" s="38"/>
    </row>
    <row r="11" spans="1:12" x14ac:dyDescent="0.2">
      <c r="A11" s="39" t="s">
        <v>18</v>
      </c>
      <c r="B11" s="31">
        <v>257.50700000000001</v>
      </c>
      <c r="C11" s="49">
        <v>0.49</v>
      </c>
      <c r="D11" s="39">
        <f>$C$11*D7</f>
        <v>319.81978559999999</v>
      </c>
      <c r="E11" s="39">
        <f>$C$11*E7</f>
        <v>358.19815987200002</v>
      </c>
      <c r="F11" s="39">
        <f>$C$11*F7</f>
        <v>401.18193905664009</v>
      </c>
      <c r="G11" s="39">
        <f>$C$11*G7</f>
        <v>449.32377174343691</v>
      </c>
      <c r="H11" s="39">
        <f>$C$11*H7</f>
        <v>503.24262435264939</v>
      </c>
    </row>
    <row r="12" spans="1:12" x14ac:dyDescent="0.2">
      <c r="B12" s="9"/>
      <c r="C12" s="1"/>
      <c r="H12" s="39"/>
    </row>
    <row r="13" spans="1:12" x14ac:dyDescent="0.2">
      <c r="A13" s="39" t="s">
        <v>17</v>
      </c>
      <c r="B13" s="43">
        <v>84.426999999999964</v>
      </c>
      <c r="C13" s="1"/>
      <c r="D13" s="42">
        <f>D10-D11</f>
        <v>78.323212800000022</v>
      </c>
      <c r="E13" s="42">
        <f>E10-E11</f>
        <v>87.721998336000013</v>
      </c>
      <c r="F13" s="42">
        <f>F10-F11</f>
        <v>98.248638136319983</v>
      </c>
      <c r="G13" s="42">
        <f>G10-G11</f>
        <v>110.03847471267846</v>
      </c>
      <c r="H13" s="42">
        <f>H10-H11</f>
        <v>123.2430916781999</v>
      </c>
      <c r="I13" s="38"/>
      <c r="J13" s="38"/>
      <c r="K13" s="38"/>
      <c r="L13" s="38"/>
    </row>
    <row r="14" spans="1:12" x14ac:dyDescent="0.2">
      <c r="A14" s="39" t="s">
        <v>121</v>
      </c>
      <c r="B14" s="31">
        <v>25.221</v>
      </c>
      <c r="C14" s="49">
        <v>0.3</v>
      </c>
      <c r="D14" s="39">
        <f>$C$14*$C$34*D7</f>
        <v>29.371204800000001</v>
      </c>
      <c r="E14" s="39">
        <f>$C$14*$C$34*E7</f>
        <v>32.895749376000005</v>
      </c>
      <c r="F14" s="39">
        <f>$C$14*$C$34*F7</f>
        <v>36.843239301120008</v>
      </c>
      <c r="G14" s="39">
        <f>$C$14*$C$34*G7</f>
        <v>41.26442801725441</v>
      </c>
      <c r="H14" s="39">
        <f>$C$14*$C$34*H7</f>
        <v>46.216159379324942</v>
      </c>
    </row>
    <row r="15" spans="1:12" x14ac:dyDescent="0.2">
      <c r="B15" s="9"/>
      <c r="C15" s="1"/>
      <c r="H15" s="39"/>
    </row>
    <row r="16" spans="1:12" x14ac:dyDescent="0.2">
      <c r="A16" s="39" t="s">
        <v>16</v>
      </c>
      <c r="B16" s="43">
        <v>59.20599999999996</v>
      </c>
      <c r="C16" s="1"/>
      <c r="D16" s="42">
        <f>D13-D14</f>
        <v>48.952008000000021</v>
      </c>
      <c r="E16" s="42">
        <f>E13-E14</f>
        <v>54.826248960000008</v>
      </c>
      <c r="F16" s="42">
        <f>F13-F14</f>
        <v>61.405398835199975</v>
      </c>
      <c r="G16" s="42">
        <f>G13-G14</f>
        <v>68.774046695424062</v>
      </c>
      <c r="H16" s="42">
        <f>H13-H14</f>
        <v>77.026932298874954</v>
      </c>
      <c r="I16" s="38"/>
      <c r="J16" s="38"/>
      <c r="K16" s="38"/>
      <c r="L16" s="38"/>
    </row>
    <row r="17" spans="1:12" x14ac:dyDescent="0.2">
      <c r="A17" s="39" t="s">
        <v>15</v>
      </c>
      <c r="B17" s="31">
        <v>16.43</v>
      </c>
      <c r="C17" s="1" t="s">
        <v>113</v>
      </c>
      <c r="D17" s="72">
        <f ca="1">IF(D37-D43-D46-D55&gt;0,0.1*(D37-D43-D46-D55),0)</f>
        <v>18.636266909090917</v>
      </c>
      <c r="E17" s="72">
        <f ca="1">IF(E37-E43-E46-E55&gt;0,0.1*(E37-E43-E46-E55),0)</f>
        <v>18.800966348974239</v>
      </c>
      <c r="F17" s="72">
        <f ca="1">IF(F37-F43-F46-F55&gt;0,0.1*(F37-F43-F46-F55),0)</f>
        <v>18.841411092447316</v>
      </c>
      <c r="G17" s="72">
        <f ca="1">IF(G37-G43-G46-G55&gt;0,0.1*(G37-G43-G46-G55),0)</f>
        <v>18.732678585675938</v>
      </c>
      <c r="H17" s="72">
        <f ca="1">IF(H37-H43-H46-H55&gt;0,0.1*(H37-H43-H46-H55),0)</f>
        <v>18.446159547652176</v>
      </c>
      <c r="J17" s="38"/>
      <c r="K17" s="38"/>
      <c r="L17" s="38"/>
    </row>
    <row r="18" spans="1:12" x14ac:dyDescent="0.2">
      <c r="B18" s="9"/>
      <c r="C18" s="1"/>
      <c r="H18" s="39"/>
    </row>
    <row r="19" spans="1:12" x14ac:dyDescent="0.2">
      <c r="A19" s="39" t="s">
        <v>13</v>
      </c>
      <c r="B19" s="43">
        <v>42.775999999999961</v>
      </c>
      <c r="C19" s="33"/>
      <c r="D19" s="42">
        <f ca="1">D16-D17</f>
        <v>30.315741090909103</v>
      </c>
      <c r="E19" s="42">
        <f ca="1">E16-E17</f>
        <v>36.025282611025773</v>
      </c>
      <c r="F19" s="42">
        <f ca="1">F16-F17</f>
        <v>42.563987742752659</v>
      </c>
      <c r="G19" s="42">
        <f ca="1">G16-G17</f>
        <v>50.04136810974812</v>
      </c>
      <c r="H19" s="42">
        <f ca="1">H16-H17</f>
        <v>58.580772751222781</v>
      </c>
      <c r="I19" s="38"/>
      <c r="J19" s="38"/>
      <c r="K19" s="38"/>
      <c r="L19" s="38"/>
    </row>
    <row r="20" spans="1:12" x14ac:dyDescent="0.2">
      <c r="A20" s="39" t="s">
        <v>12</v>
      </c>
      <c r="B20" s="55">
        <v>14.971</v>
      </c>
      <c r="C20" s="44">
        <v>0.35</v>
      </c>
      <c r="D20" s="39">
        <f ca="1">$C$20*D19</f>
        <v>10.610509381818186</v>
      </c>
      <c r="E20" s="39">
        <f ca="1">$C$20*E19</f>
        <v>12.608848913859021</v>
      </c>
      <c r="F20" s="39">
        <f ca="1">$C$20*F19</f>
        <v>14.89739570996343</v>
      </c>
      <c r="G20" s="39">
        <f ca="1">$C$20*G19</f>
        <v>17.51447883841184</v>
      </c>
      <c r="H20" s="39">
        <f ca="1">$C$20*H19</f>
        <v>20.503270462927972</v>
      </c>
    </row>
    <row r="21" spans="1:12" x14ac:dyDescent="0.2">
      <c r="B21" s="9"/>
      <c r="C21" s="1"/>
      <c r="H21" s="39"/>
    </row>
    <row r="22" spans="1:12" ht="13.5" thickBot="1" x14ac:dyDescent="0.25">
      <c r="A22" s="39" t="s">
        <v>4</v>
      </c>
      <c r="B22" s="53">
        <v>27.805</v>
      </c>
      <c r="C22" s="1"/>
      <c r="D22" s="74">
        <f ca="1">D19-D20</f>
        <v>19.705231709090917</v>
      </c>
      <c r="E22" s="74">
        <f ca="1">E19-E20</f>
        <v>23.416433697166752</v>
      </c>
      <c r="F22" s="74">
        <f ca="1">F19-F20</f>
        <v>27.666592032789229</v>
      </c>
      <c r="G22" s="74">
        <f ca="1">G19-G20</f>
        <v>32.52688927133628</v>
      </c>
      <c r="H22" s="74">
        <f ca="1">H19-H20</f>
        <v>38.077502288294809</v>
      </c>
      <c r="I22" s="38"/>
      <c r="J22" s="38"/>
      <c r="K22" s="38"/>
      <c r="L22" s="38"/>
    </row>
    <row r="23" spans="1:12" ht="13.5" thickTop="1" x14ac:dyDescent="0.2">
      <c r="B23" s="9"/>
      <c r="C23" s="1"/>
      <c r="H23" s="39"/>
    </row>
    <row r="24" spans="1:12" x14ac:dyDescent="0.2">
      <c r="A24" s="72" t="s">
        <v>116</v>
      </c>
      <c r="B24" s="51"/>
      <c r="C24" s="1"/>
      <c r="H24" s="39"/>
    </row>
    <row r="25" spans="1:12" ht="13.5" x14ac:dyDescent="0.25">
      <c r="B25" s="50"/>
      <c r="C25" s="1"/>
      <c r="H25" s="39"/>
    </row>
    <row r="26" spans="1:12" x14ac:dyDescent="0.2">
      <c r="A26" s="39" t="s">
        <v>48</v>
      </c>
      <c r="B26" s="8"/>
      <c r="C26" s="1"/>
      <c r="H26" s="39"/>
    </row>
    <row r="27" spans="1:12" x14ac:dyDescent="0.2">
      <c r="A27" s="39" t="s">
        <v>115</v>
      </c>
      <c r="B27" s="46">
        <v>7.1519999999999868</v>
      </c>
      <c r="C27" s="44">
        <v>0.02</v>
      </c>
      <c r="D27" s="72">
        <f>IF(D11&gt;0,$C$27*D7,(D57-D28-D29-D30-D31-D34-D35-D36))</f>
        <v>13.0538688</v>
      </c>
      <c r="E27" s="72">
        <f>IF(E11&gt;0,$C$27*E7,(E57-E28-E29-E30-E31-E34-E35-E36))</f>
        <v>14.620333056000002</v>
      </c>
      <c r="F27" s="72">
        <f>IF(F11&gt;0,$C$27*F7,(F57-F28-F29-F30-F31-F34-F35-F36))</f>
        <v>16.374773022720003</v>
      </c>
      <c r="G27" s="72">
        <f>IF(G11&gt;0,$C$27*G7,(G57-G28-G29-G30-G31-G34-G35-G36))</f>
        <v>18.339745785446407</v>
      </c>
      <c r="H27" s="72">
        <f>IF(H11&gt;0,$C$27*H7,(H57-H28-H29-H30-H31-H34-H35-H36))</f>
        <v>20.540515279699974</v>
      </c>
    </row>
    <row r="28" spans="1:12" x14ac:dyDescent="0.2">
      <c r="A28" s="39" t="s">
        <v>114</v>
      </c>
      <c r="B28" s="9">
        <v>70.537999999999997</v>
      </c>
      <c r="C28" s="44">
        <v>0.13</v>
      </c>
      <c r="D28" s="39">
        <f>$C$28*D7</f>
        <v>84.850147200000009</v>
      </c>
      <c r="E28" s="39">
        <f>$C$28*E7</f>
        <v>95.032164864000009</v>
      </c>
      <c r="F28" s="39">
        <f>$C$28*F7</f>
        <v>106.43602464768003</v>
      </c>
      <c r="G28" s="39">
        <f>$C$28*G7</f>
        <v>119.20834760540164</v>
      </c>
      <c r="H28" s="39">
        <f>$C$28*H7</f>
        <v>133.51334931804985</v>
      </c>
    </row>
    <row r="29" spans="1:12" x14ac:dyDescent="0.2">
      <c r="A29" s="39" t="s">
        <v>0</v>
      </c>
      <c r="B29" s="9">
        <v>39.033000000000001</v>
      </c>
      <c r="C29" s="44">
        <v>0.05</v>
      </c>
      <c r="D29" s="39">
        <f>$C$29*D7</f>
        <v>32.634672000000002</v>
      </c>
      <c r="E29" s="39">
        <f>$C$29*E7</f>
        <v>36.550832640000003</v>
      </c>
      <c r="F29" s="39">
        <f>$C$29*F7</f>
        <v>40.936932556800009</v>
      </c>
      <c r="G29" s="39">
        <f>$C$29*G7</f>
        <v>45.849364463616013</v>
      </c>
      <c r="H29" s="39">
        <f>$C$29*H7</f>
        <v>51.351288199249943</v>
      </c>
    </row>
    <row r="30" spans="1:12" x14ac:dyDescent="0.2">
      <c r="A30" s="39" t="s">
        <v>46</v>
      </c>
      <c r="B30" s="9">
        <v>9.3390000000000004</v>
      </c>
      <c r="C30" s="44" t="s">
        <v>109</v>
      </c>
      <c r="D30" s="39">
        <f>$B$30</f>
        <v>9.3390000000000004</v>
      </c>
      <c r="E30" s="39">
        <f>$B$30</f>
        <v>9.3390000000000004</v>
      </c>
      <c r="F30" s="39">
        <f>$B$30</f>
        <v>9.3390000000000004</v>
      </c>
      <c r="G30" s="39">
        <f>$B$30</f>
        <v>9.3390000000000004</v>
      </c>
      <c r="H30" s="39">
        <f>$B$30</f>
        <v>9.3390000000000004</v>
      </c>
      <c r="J30" s="38"/>
      <c r="K30" s="38"/>
      <c r="L30" s="38"/>
    </row>
    <row r="31" spans="1:12" x14ac:dyDescent="0.2">
      <c r="A31" s="39" t="s">
        <v>45</v>
      </c>
      <c r="B31" s="9">
        <v>27.076000000000001</v>
      </c>
      <c r="C31" s="44">
        <v>0.06</v>
      </c>
      <c r="D31" s="39">
        <f>$C$31*D7</f>
        <v>39.161606399999997</v>
      </c>
      <c r="E31" s="39">
        <f>$C$31*E7</f>
        <v>43.860999168000006</v>
      </c>
      <c r="F31" s="39">
        <f>$C$31*F7</f>
        <v>49.124319068160005</v>
      </c>
      <c r="G31" s="39">
        <f>$C$31*G7</f>
        <v>55.019237356339211</v>
      </c>
      <c r="H31" s="39">
        <f>$C$31*H7</f>
        <v>61.621545839099923</v>
      </c>
    </row>
    <row r="32" spans="1:12" x14ac:dyDescent="0.2">
      <c r="A32" s="75" t="s">
        <v>44</v>
      </c>
      <c r="B32" s="43">
        <v>153.13799999999998</v>
      </c>
      <c r="C32" s="1"/>
      <c r="D32" s="42">
        <f>SUM(D27:D31)</f>
        <v>179.03929440000002</v>
      </c>
      <c r="E32" s="42">
        <f>SUM(E27:E31)</f>
        <v>199.40332972800002</v>
      </c>
      <c r="F32" s="42">
        <f>SUM(F27:F31)</f>
        <v>222.21104929536006</v>
      </c>
      <c r="G32" s="42">
        <f>SUM(G27:G31)</f>
        <v>247.75569521080325</v>
      </c>
      <c r="H32" s="42">
        <f>SUM(H27:H31)</f>
        <v>276.36569863609969</v>
      </c>
      <c r="I32" s="38"/>
      <c r="J32" s="38"/>
      <c r="K32" s="38"/>
      <c r="L32" s="38"/>
    </row>
    <row r="33" spans="1:12" x14ac:dyDescent="0.2">
      <c r="B33" s="9"/>
      <c r="C33" s="1"/>
      <c r="H33" s="39"/>
    </row>
    <row r="34" spans="1:12" x14ac:dyDescent="0.2">
      <c r="A34" s="39" t="s">
        <v>41</v>
      </c>
      <c r="B34" s="43">
        <v>81.647999999999996</v>
      </c>
      <c r="C34" s="44">
        <v>0.15</v>
      </c>
      <c r="D34" s="39">
        <f>$C$34*D7</f>
        <v>97.904015999999999</v>
      </c>
      <c r="E34" s="39">
        <f>$C$34*E7</f>
        <v>109.65249792000002</v>
      </c>
      <c r="F34" s="39">
        <f>$C$34*F7</f>
        <v>122.81079767040002</v>
      </c>
      <c r="G34" s="39">
        <f>$C$34*G7</f>
        <v>137.54809339084804</v>
      </c>
      <c r="H34" s="39">
        <f>$C$34*H7</f>
        <v>154.05386459774982</v>
      </c>
    </row>
    <row r="35" spans="1:12" x14ac:dyDescent="0.2">
      <c r="A35" s="39" t="s">
        <v>40</v>
      </c>
      <c r="B35" s="9">
        <v>9.4149999999999991</v>
      </c>
      <c r="C35" s="1" t="s">
        <v>109</v>
      </c>
      <c r="D35" s="38">
        <f>$B$35</f>
        <v>9.4149999999999991</v>
      </c>
      <c r="E35" s="38">
        <f>$B$35</f>
        <v>9.4149999999999991</v>
      </c>
      <c r="F35" s="38">
        <f>$B$35</f>
        <v>9.4149999999999991</v>
      </c>
      <c r="G35" s="38">
        <f>$B$35</f>
        <v>9.4149999999999991</v>
      </c>
      <c r="H35" s="38">
        <f>$B$35</f>
        <v>9.4149999999999991</v>
      </c>
      <c r="I35" s="38"/>
      <c r="J35" s="38"/>
      <c r="K35" s="38"/>
      <c r="L35" s="38"/>
    </row>
    <row r="36" spans="1:12" x14ac:dyDescent="0.2">
      <c r="A36" s="39" t="s">
        <v>39</v>
      </c>
      <c r="B36" s="9">
        <v>24.641999999999999</v>
      </c>
      <c r="C36" s="49">
        <v>0.05</v>
      </c>
      <c r="D36" s="38">
        <f>D7*$C$36</f>
        <v>32.634672000000002</v>
      </c>
      <c r="E36" s="38">
        <f>E7*$C$36</f>
        <v>36.550832640000003</v>
      </c>
      <c r="F36" s="38">
        <f>F7*$C$36</f>
        <v>40.936932556800009</v>
      </c>
      <c r="G36" s="38">
        <f>G7*$C$36</f>
        <v>45.849364463616013</v>
      </c>
      <c r="H36" s="38">
        <f>H7*$C$36</f>
        <v>51.351288199249943</v>
      </c>
      <c r="I36" s="38"/>
      <c r="J36" s="38"/>
      <c r="K36" s="38"/>
      <c r="L36" s="38"/>
    </row>
    <row r="37" spans="1:12" ht="15" x14ac:dyDescent="0.35">
      <c r="A37" s="75" t="s">
        <v>38</v>
      </c>
      <c r="B37" s="48">
        <v>268.84299999999996</v>
      </c>
      <c r="C37" s="1"/>
      <c r="D37" s="42">
        <f>D32+D34+D35+D36</f>
        <v>318.99298240000007</v>
      </c>
      <c r="E37" s="42">
        <f>E32+E34+E35+E36</f>
        <v>355.02166028800008</v>
      </c>
      <c r="F37" s="42">
        <f>F32+F34+F35+F36</f>
        <v>395.37377952256008</v>
      </c>
      <c r="G37" s="42">
        <f>G32+G34+G35+G36</f>
        <v>440.56815306526732</v>
      </c>
      <c r="H37" s="42">
        <f>H32+H34+H35+H36</f>
        <v>491.18585143309951</v>
      </c>
      <c r="I37" s="38"/>
      <c r="J37" s="38"/>
      <c r="K37" s="38"/>
      <c r="L37" s="38"/>
    </row>
    <row r="38" spans="1:12" x14ac:dyDescent="0.2">
      <c r="B38" s="9"/>
      <c r="C38" s="1"/>
      <c r="H38" s="39"/>
    </row>
    <row r="39" spans="1:12" x14ac:dyDescent="0.2">
      <c r="A39" s="39" t="s">
        <v>37</v>
      </c>
      <c r="B39" s="9"/>
      <c r="C39" s="1"/>
      <c r="H39" s="39"/>
    </row>
    <row r="40" spans="1:12" x14ac:dyDescent="0.2">
      <c r="A40" s="39" t="s">
        <v>35</v>
      </c>
      <c r="B40" s="46">
        <v>36.951000000000001</v>
      </c>
      <c r="C40" s="44">
        <v>0.06</v>
      </c>
      <c r="D40" s="39">
        <f>$C$40*D7</f>
        <v>39.161606399999997</v>
      </c>
      <c r="E40" s="39">
        <f>$C$40*E7</f>
        <v>43.860999168000006</v>
      </c>
      <c r="F40" s="39">
        <f>$C$40*F7</f>
        <v>49.124319068160005</v>
      </c>
      <c r="G40" s="39">
        <f>$C$40*G7</f>
        <v>55.019237356339211</v>
      </c>
      <c r="H40" s="39">
        <f>$C$40*H7</f>
        <v>61.621545839099923</v>
      </c>
    </row>
    <row r="41" spans="1:12" x14ac:dyDescent="0.2">
      <c r="A41" s="39" t="s">
        <v>33</v>
      </c>
      <c r="B41" s="9">
        <v>31.206</v>
      </c>
      <c r="C41" s="44">
        <v>0.05</v>
      </c>
      <c r="D41" s="39">
        <f>$C$41*D7</f>
        <v>32.634672000000002</v>
      </c>
      <c r="E41" s="39">
        <f>$C$41*E7</f>
        <v>36.550832640000003</v>
      </c>
      <c r="F41" s="39">
        <f>$C$41*F7</f>
        <v>40.936932556800009</v>
      </c>
      <c r="G41" s="39">
        <f>$C$41*G7</f>
        <v>45.849364463616013</v>
      </c>
      <c r="H41" s="39">
        <f>$C$41*H7</f>
        <v>51.351288199249943</v>
      </c>
    </row>
    <row r="42" spans="1:12" x14ac:dyDescent="0.2">
      <c r="A42" s="39" t="s">
        <v>32</v>
      </c>
      <c r="B42" s="9">
        <v>3.6629999999999998</v>
      </c>
      <c r="C42" s="33" t="s">
        <v>109</v>
      </c>
      <c r="D42" s="38">
        <f>$B$42</f>
        <v>3.6629999999999998</v>
      </c>
      <c r="E42" s="38">
        <f>$B$42</f>
        <v>3.6629999999999998</v>
      </c>
      <c r="F42" s="38">
        <f>$B$42</f>
        <v>3.6629999999999998</v>
      </c>
      <c r="G42" s="38">
        <f>$B$42</f>
        <v>3.6629999999999998</v>
      </c>
      <c r="H42" s="38">
        <f>$B$42</f>
        <v>3.6629999999999998</v>
      </c>
      <c r="I42" s="38"/>
      <c r="J42" s="38"/>
      <c r="K42" s="38"/>
      <c r="L42" s="38"/>
    </row>
    <row r="43" spans="1:12" x14ac:dyDescent="0.2">
      <c r="A43" s="75" t="s">
        <v>31</v>
      </c>
      <c r="B43" s="43">
        <v>71.819999999999993</v>
      </c>
      <c r="C43" s="33"/>
      <c r="D43" s="42">
        <f>SUM(D40:D42)</f>
        <v>75.459278400000002</v>
      </c>
      <c r="E43" s="42">
        <f>SUM(E40:E42)</f>
        <v>84.074831808000013</v>
      </c>
      <c r="F43" s="42">
        <f>SUM(F40:F42)</f>
        <v>93.724251624960019</v>
      </c>
      <c r="G43" s="42">
        <f>SUM(G40:G42)</f>
        <v>104.53160181995521</v>
      </c>
      <c r="H43" s="42">
        <f>SUM(H40:H42)</f>
        <v>116.63583403834987</v>
      </c>
      <c r="I43" s="38"/>
      <c r="J43" s="38"/>
      <c r="K43" s="38"/>
      <c r="L43" s="38"/>
    </row>
    <row r="44" spans="1:12" x14ac:dyDescent="0.2">
      <c r="B44" s="9"/>
      <c r="C44" s="1"/>
      <c r="H44" s="39"/>
    </row>
    <row r="45" spans="1:12" x14ac:dyDescent="0.2">
      <c r="A45" s="39" t="s">
        <v>30</v>
      </c>
      <c r="B45" s="9">
        <v>157.72</v>
      </c>
      <c r="C45" s="1" t="s">
        <v>113</v>
      </c>
      <c r="D45" s="72">
        <f ca="1">IF(D37-D43-D46-D55&gt;0,D37-D43-D46-D55,0)</f>
        <v>186.36266909090915</v>
      </c>
      <c r="E45" s="72">
        <f ca="1">IF(E37-E43-E46-E55&gt;0,E37-E43-E46-E55,0)</f>
        <v>188.00966348974239</v>
      </c>
      <c r="F45" s="72">
        <f ca="1">IF(F37-F43-F46-F55&gt;0,F37-F43-F46-F55,0)</f>
        <v>188.41411092447316</v>
      </c>
      <c r="G45" s="72">
        <f ca="1">IF(G37-G43-G46-G55&gt;0,G37-G43-G46-G55,0)</f>
        <v>187.32678585675936</v>
      </c>
      <c r="H45" s="72">
        <f ca="1">IF(H37-H43-H46-H55&gt;0,H37-H43-H46-H55,0)</f>
        <v>184.46159547652175</v>
      </c>
      <c r="I45" s="71"/>
      <c r="J45" s="38"/>
      <c r="K45" s="38"/>
      <c r="L45" s="38"/>
    </row>
    <row r="46" spans="1:12" x14ac:dyDescent="0.2">
      <c r="A46" s="39" t="s">
        <v>112</v>
      </c>
      <c r="B46" s="9">
        <v>21.417999999999999</v>
      </c>
      <c r="C46" s="44">
        <v>0.03</v>
      </c>
      <c r="D46" s="39">
        <f>$C$46*D7</f>
        <v>19.580803199999998</v>
      </c>
      <c r="E46" s="39">
        <f>$C$46*E7</f>
        <v>21.930499584000003</v>
      </c>
      <c r="F46" s="39">
        <f>$C$46*F7</f>
        <v>24.562159534080003</v>
      </c>
      <c r="G46" s="39">
        <f>$C$46*G7</f>
        <v>27.509618678169605</v>
      </c>
      <c r="H46" s="39">
        <f>$C$46*H7</f>
        <v>30.810772919549962</v>
      </c>
    </row>
    <row r="47" spans="1:12" x14ac:dyDescent="0.2">
      <c r="A47" s="75" t="s">
        <v>111</v>
      </c>
      <c r="B47" s="43">
        <v>250.958</v>
      </c>
      <c r="C47" s="1"/>
      <c r="D47" s="42">
        <f ca="1">D43+D45+D46</f>
        <v>281.40275069090916</v>
      </c>
      <c r="E47" s="42">
        <f ca="1">E43+E45+E46</f>
        <v>294.01499488174244</v>
      </c>
      <c r="F47" s="42">
        <f ca="1">F43+F45+F46</f>
        <v>306.70052208351319</v>
      </c>
      <c r="G47" s="42">
        <f ca="1">G43+G45+G46</f>
        <v>319.36800635488419</v>
      </c>
      <c r="H47" s="42">
        <f ca="1">H43+H45+H46</f>
        <v>331.90820243442158</v>
      </c>
      <c r="I47" s="38"/>
      <c r="J47" s="38"/>
      <c r="K47" s="38"/>
      <c r="L47" s="38"/>
    </row>
    <row r="48" spans="1:12" x14ac:dyDescent="0.2">
      <c r="B48" s="9"/>
      <c r="C48" s="1"/>
      <c r="H48" s="39"/>
    </row>
    <row r="49" spans="1:12" x14ac:dyDescent="0.2">
      <c r="A49" s="39" t="s">
        <v>26</v>
      </c>
      <c r="B49" s="9"/>
      <c r="C49" s="1"/>
      <c r="H49" s="39"/>
    </row>
    <row r="50" spans="1:12" x14ac:dyDescent="0.2">
      <c r="A50" s="39" t="s">
        <v>2</v>
      </c>
      <c r="B50" s="9">
        <v>1.702</v>
      </c>
      <c r="C50" s="1" t="s">
        <v>109</v>
      </c>
      <c r="D50" s="38">
        <f>$B$50</f>
        <v>1.702</v>
      </c>
      <c r="E50" s="38">
        <f>$B$50</f>
        <v>1.702</v>
      </c>
      <c r="F50" s="38">
        <f>$B$50</f>
        <v>1.702</v>
      </c>
      <c r="G50" s="38">
        <f>$B$50</f>
        <v>1.702</v>
      </c>
      <c r="H50" s="38">
        <f>$B$50</f>
        <v>1.702</v>
      </c>
      <c r="I50" s="38"/>
      <c r="J50" s="38"/>
      <c r="K50" s="38"/>
      <c r="L50" s="38"/>
    </row>
    <row r="51" spans="1:12" x14ac:dyDescent="0.2">
      <c r="A51" s="39" t="s">
        <v>25</v>
      </c>
      <c r="B51" s="9">
        <v>55.512999999999998</v>
      </c>
      <c r="C51" s="1" t="s">
        <v>109</v>
      </c>
      <c r="D51" s="38">
        <f>$B$51</f>
        <v>55.512999999999998</v>
      </c>
      <c r="E51" s="38">
        <f>$B$51</f>
        <v>55.512999999999998</v>
      </c>
      <c r="F51" s="38">
        <f>$B$51</f>
        <v>55.512999999999998</v>
      </c>
      <c r="G51" s="38">
        <f>$B$51</f>
        <v>55.512999999999998</v>
      </c>
      <c r="H51" s="38">
        <f>$B$51</f>
        <v>55.512999999999998</v>
      </c>
      <c r="I51" s="38"/>
      <c r="J51" s="38"/>
      <c r="K51" s="38"/>
      <c r="L51" s="38"/>
    </row>
    <row r="52" spans="1:12" ht="38.25" x14ac:dyDescent="0.2">
      <c r="A52" s="39" t="s">
        <v>3</v>
      </c>
      <c r="B52" s="9">
        <v>118.729</v>
      </c>
      <c r="C52" s="40" t="s">
        <v>110</v>
      </c>
      <c r="D52" s="39">
        <f ca="1">B52+D22</f>
        <v>138.43423170909091</v>
      </c>
      <c r="E52" s="39">
        <f ca="1">D52+E22</f>
        <v>161.85066540625766</v>
      </c>
      <c r="F52" s="39">
        <f ca="1">E52+F22</f>
        <v>189.51725743904689</v>
      </c>
      <c r="G52" s="39">
        <f ca="1">F52+G22</f>
        <v>222.04414671038316</v>
      </c>
      <c r="H52" s="39">
        <f ca="1">G52+H22</f>
        <v>260.12164899867798</v>
      </c>
      <c r="I52" s="71"/>
    </row>
    <row r="53" spans="1:12" x14ac:dyDescent="0.2">
      <c r="A53" s="39" t="s">
        <v>24</v>
      </c>
      <c r="B53" s="9">
        <v>158.059</v>
      </c>
      <c r="C53" s="1" t="s">
        <v>109</v>
      </c>
      <c r="D53" s="38">
        <f>$B$53</f>
        <v>158.059</v>
      </c>
      <c r="E53" s="38">
        <f>$B$53</f>
        <v>158.059</v>
      </c>
      <c r="F53" s="38">
        <f>$B$53</f>
        <v>158.059</v>
      </c>
      <c r="G53" s="38">
        <f>$B$53</f>
        <v>158.059</v>
      </c>
      <c r="H53" s="38">
        <f>$B$53</f>
        <v>158.059</v>
      </c>
      <c r="I53" s="38"/>
      <c r="J53" s="38"/>
      <c r="K53" s="38"/>
      <c r="L53" s="38"/>
    </row>
    <row r="54" spans="1:12" x14ac:dyDescent="0.2">
      <c r="B54" s="9"/>
      <c r="C54" s="1"/>
      <c r="H54" s="39"/>
    </row>
    <row r="55" spans="1:12" x14ac:dyDescent="0.2">
      <c r="A55" s="75" t="s">
        <v>23</v>
      </c>
      <c r="B55" s="31">
        <v>17.885000000000002</v>
      </c>
      <c r="C55" s="33"/>
      <c r="D55" s="42">
        <f ca="1">SUM(D50:D52)-D53</f>
        <v>37.590231709090915</v>
      </c>
      <c r="E55" s="42">
        <f ca="1">SUM(E50:E52)-E53</f>
        <v>61.006665406257667</v>
      </c>
      <c r="F55" s="42">
        <f ca="1">SUM(F50:F52)-F53</f>
        <v>88.673257439046893</v>
      </c>
      <c r="G55" s="42">
        <f ca="1">SUM(G50:G52)-G53</f>
        <v>121.20014671038317</v>
      </c>
      <c r="H55" s="42">
        <f ca="1">SUM(H50:H52)-H53</f>
        <v>159.27764899867796</v>
      </c>
      <c r="I55" s="38"/>
      <c r="J55" s="38"/>
      <c r="K55" s="38"/>
      <c r="L55" s="38"/>
    </row>
    <row r="56" spans="1:12" x14ac:dyDescent="0.2">
      <c r="B56" s="9"/>
      <c r="C56" s="1"/>
      <c r="H56" s="39"/>
    </row>
    <row r="57" spans="1:12" ht="15" x14ac:dyDescent="0.35">
      <c r="A57" s="39" t="s">
        <v>22</v>
      </c>
      <c r="B57" s="34">
        <v>268.84299999999996</v>
      </c>
      <c r="C57" s="33"/>
      <c r="D57" s="74">
        <f ca="1">D55+D47</f>
        <v>318.99298240000007</v>
      </c>
      <c r="E57" s="74">
        <f ca="1">E55+E47</f>
        <v>355.02166028800013</v>
      </c>
      <c r="F57" s="74">
        <f ca="1">F55+F47</f>
        <v>395.37377952256008</v>
      </c>
      <c r="G57" s="74">
        <f ca="1">G55+G47</f>
        <v>440.56815306526732</v>
      </c>
      <c r="H57" s="74">
        <f ca="1">H55+H47</f>
        <v>491.18585143309951</v>
      </c>
      <c r="I57" s="38"/>
      <c r="J57" s="38"/>
      <c r="K57" s="38"/>
      <c r="L57" s="38"/>
    </row>
    <row r="58" spans="1:12" x14ac:dyDescent="0.2">
      <c r="B58" s="73"/>
      <c r="H58" s="39"/>
    </row>
    <row r="59" spans="1:12" x14ac:dyDescent="0.2">
      <c r="A59" s="72"/>
      <c r="B59" s="38"/>
      <c r="D59" s="72"/>
      <c r="E59" s="72"/>
      <c r="F59" s="72"/>
      <c r="G59" s="72"/>
      <c r="H59" s="72"/>
      <c r="I59" s="71"/>
      <c r="J59" s="71"/>
      <c r="K59" s="71"/>
      <c r="L59" s="71"/>
    </row>
    <row r="60" spans="1:12" x14ac:dyDescent="0.2">
      <c r="A60" s="72"/>
      <c r="D60" s="71"/>
      <c r="E60" s="71"/>
      <c r="F60" s="56"/>
      <c r="G60" s="56"/>
    </row>
    <row r="61" spans="1:12" x14ac:dyDescent="0.2">
      <c r="D61" s="56"/>
      <c r="E61" s="70"/>
      <c r="F61" s="288"/>
      <c r="G61" s="288"/>
      <c r="H61" s="288"/>
      <c r="I61" s="288"/>
      <c r="J61" s="288"/>
    </row>
    <row r="62" spans="1:12" ht="13.5" x14ac:dyDescent="0.25">
      <c r="D62" s="69"/>
      <c r="E62" s="68"/>
      <c r="F62" s="68"/>
      <c r="G62" s="68"/>
      <c r="H62" s="68"/>
      <c r="I62" s="68"/>
      <c r="J62" s="68"/>
    </row>
    <row r="63" spans="1:12" x14ac:dyDescent="0.2">
      <c r="D63" s="51"/>
      <c r="E63" s="285"/>
      <c r="F63" s="285"/>
      <c r="G63" s="285"/>
      <c r="H63" s="285"/>
      <c r="I63" s="285"/>
      <c r="J63" s="285"/>
    </row>
    <row r="64" spans="1:12" x14ac:dyDescent="0.2">
      <c r="D64" s="51"/>
      <c r="E64" s="56"/>
      <c r="F64" s="67"/>
      <c r="G64" s="67"/>
      <c r="H64" s="67"/>
      <c r="I64" s="67"/>
      <c r="J64" s="67"/>
    </row>
    <row r="65" spans="4:10" x14ac:dyDescent="0.2">
      <c r="D65" s="51"/>
      <c r="E65" s="56"/>
      <c r="F65" s="66"/>
      <c r="G65" s="66"/>
      <c r="H65" s="66"/>
      <c r="I65" s="66"/>
      <c r="J65" s="66"/>
    </row>
    <row r="66" spans="4:10" x14ac:dyDescent="0.2">
      <c r="D66" s="51"/>
      <c r="E66" s="56"/>
      <c r="F66" s="56"/>
      <c r="G66" s="56"/>
    </row>
    <row r="67" spans="4:10" x14ac:dyDescent="0.2">
      <c r="D67" s="51"/>
      <c r="E67" s="65"/>
      <c r="F67" s="65"/>
      <c r="G67" s="65"/>
      <c r="H67" s="65"/>
      <c r="I67" s="65"/>
      <c r="J67" s="65"/>
    </row>
  </sheetData>
  <mergeCells count="5">
    <mergeCell ref="E63:J63"/>
    <mergeCell ref="A2:D2"/>
    <mergeCell ref="A3:D3"/>
    <mergeCell ref="D4:H4"/>
    <mergeCell ref="F61:J61"/>
  </mergeCells>
  <phoneticPr fontId="39"/>
  <pageMargins left="0.36" right="0.25" top="1" bottom="0.49" header="0.5" footer="0.5"/>
  <pageSetup scale="85" orientation="landscape" r:id="rId1"/>
  <headerFooter alignWithMargins="0"/>
  <rowBreaks count="1" manualBreakCount="1">
    <brk id="2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showGridLines="0" tabSelected="1" zoomScaleNormal="100" workbookViewId="0">
      <selection activeCell="K13" sqref="K13"/>
    </sheetView>
  </sheetViews>
  <sheetFormatPr defaultRowHeight="12.75" x14ac:dyDescent="0.2"/>
  <cols>
    <col min="1" max="1" width="35.5703125" customWidth="1"/>
    <col min="2" max="2" width="9.7109375" bestFit="1" customWidth="1"/>
    <col min="3" max="3" width="14" bestFit="1" customWidth="1"/>
    <col min="4" max="6" width="12.5703125" bestFit="1" customWidth="1"/>
    <col min="7" max="7" width="12.7109375" bestFit="1" customWidth="1"/>
    <col min="8" max="8" width="13.28515625" bestFit="1" customWidth="1"/>
  </cols>
  <sheetData>
    <row r="1" spans="1:8" s="5" customFormat="1" ht="18.75" x14ac:dyDescent="0.3">
      <c r="A1" s="7" t="s">
        <v>130</v>
      </c>
    </row>
    <row r="2" spans="1:8" ht="15.75" customHeight="1" x14ac:dyDescent="0.25">
      <c r="A2" s="281" t="s">
        <v>119</v>
      </c>
      <c r="B2" s="282"/>
      <c r="C2" s="282"/>
      <c r="D2" s="282"/>
      <c r="E2" s="75"/>
      <c r="F2" s="39"/>
      <c r="G2" s="39"/>
      <c r="H2" s="56"/>
    </row>
    <row r="3" spans="1:8" x14ac:dyDescent="0.2">
      <c r="A3" s="286" t="s">
        <v>118</v>
      </c>
      <c r="B3" s="287"/>
      <c r="C3" s="287"/>
      <c r="D3" s="287"/>
      <c r="E3" s="75"/>
      <c r="F3" s="39"/>
      <c r="G3" s="39"/>
      <c r="H3" s="56"/>
    </row>
    <row r="4" spans="1:8" x14ac:dyDescent="0.2">
      <c r="A4" s="80"/>
      <c r="B4" s="75"/>
      <c r="C4" s="44"/>
      <c r="D4" s="286" t="s">
        <v>372</v>
      </c>
      <c r="E4" s="286"/>
      <c r="F4" s="286"/>
      <c r="G4" s="286"/>
      <c r="H4" s="286"/>
    </row>
    <row r="5" spans="1:8" ht="13.5" x14ac:dyDescent="0.25">
      <c r="A5" s="39"/>
      <c r="B5" s="59">
        <v>2011</v>
      </c>
      <c r="C5" s="79" t="s">
        <v>117</v>
      </c>
      <c r="D5" s="78">
        <v>2012</v>
      </c>
      <c r="E5" s="78">
        <v>2013</v>
      </c>
      <c r="F5" s="78">
        <v>2014</v>
      </c>
      <c r="G5" s="78">
        <v>2015</v>
      </c>
      <c r="H5" s="78">
        <v>2016</v>
      </c>
    </row>
    <row r="6" spans="1:8" x14ac:dyDescent="0.2">
      <c r="A6" s="39"/>
      <c r="B6" s="39"/>
      <c r="C6" s="44"/>
      <c r="D6" s="39"/>
      <c r="E6" s="39"/>
      <c r="F6" s="39"/>
      <c r="G6" s="39"/>
      <c r="H6" s="56"/>
    </row>
    <row r="7" spans="1:8" x14ac:dyDescent="0.2">
      <c r="A7" s="39" t="s">
        <v>8</v>
      </c>
      <c r="B7" s="46">
        <v>582.76199999999994</v>
      </c>
      <c r="C7" s="49">
        <v>0.1</v>
      </c>
      <c r="D7" s="39">
        <f>B7*(1+$C$7)</f>
        <v>641.03819999999996</v>
      </c>
      <c r="E7" s="39">
        <f>D7*(1+$C$7)</f>
        <v>705.14202</v>
      </c>
      <c r="F7" s="39">
        <f>E7*(1+$C$7)</f>
        <v>775.65622200000007</v>
      </c>
      <c r="G7" s="39">
        <f>F7*(1+$C$7)</f>
        <v>853.22184420000019</v>
      </c>
      <c r="H7" s="39">
        <f>G7*(1+$C$7)</f>
        <v>938.54402862000029</v>
      </c>
    </row>
    <row r="8" spans="1:8" x14ac:dyDescent="0.2">
      <c r="A8" s="39" t="s">
        <v>20</v>
      </c>
      <c r="B8" s="9">
        <v>240.828</v>
      </c>
      <c r="C8" s="49">
        <v>0.41</v>
      </c>
      <c r="D8" s="39">
        <f>$C$8*D7</f>
        <v>262.82566199999997</v>
      </c>
      <c r="E8" s="39">
        <f>$C$8*E7</f>
        <v>289.10822819999999</v>
      </c>
      <c r="F8" s="39">
        <f>$C$8*F7</f>
        <v>318.01905102000001</v>
      </c>
      <c r="G8" s="39">
        <f>$C$8*G7</f>
        <v>349.82095612200004</v>
      </c>
      <c r="H8" s="39">
        <f>$C$8*H7</f>
        <v>384.8030517342001</v>
      </c>
    </row>
    <row r="9" spans="1:8" x14ac:dyDescent="0.2">
      <c r="A9" s="39"/>
      <c r="B9" s="9"/>
      <c r="C9" s="1"/>
      <c r="D9" s="39"/>
      <c r="E9" s="39"/>
      <c r="F9" s="39"/>
      <c r="G9" s="39"/>
      <c r="H9" s="39"/>
    </row>
    <row r="10" spans="1:8" x14ac:dyDescent="0.2">
      <c r="A10" s="39" t="s">
        <v>19</v>
      </c>
      <c r="B10" s="43">
        <v>341.93399999999997</v>
      </c>
      <c r="C10" s="1"/>
      <c r="D10" s="42">
        <f>D7-D8</f>
        <v>378.212538</v>
      </c>
      <c r="E10" s="42">
        <f>E7-E8</f>
        <v>416.03379180000002</v>
      </c>
      <c r="F10" s="42">
        <f>F7-F8</f>
        <v>457.63717098000006</v>
      </c>
      <c r="G10" s="42">
        <f>G7-G8</f>
        <v>503.40088807800015</v>
      </c>
      <c r="H10" s="42">
        <f>H7-H8</f>
        <v>553.74097688580014</v>
      </c>
    </row>
    <row r="11" spans="1:8" x14ac:dyDescent="0.2">
      <c r="A11" s="39" t="s">
        <v>18</v>
      </c>
      <c r="B11" s="31">
        <v>257.50700000000001</v>
      </c>
      <c r="C11" s="49">
        <v>0.5</v>
      </c>
      <c r="D11" s="39">
        <f>$C$11*D7</f>
        <v>320.51909999999998</v>
      </c>
      <c r="E11" s="39">
        <f>$C$11*E7</f>
        <v>352.57101</v>
      </c>
      <c r="F11" s="39">
        <f>$C$11*F7</f>
        <v>387.82811100000004</v>
      </c>
      <c r="G11" s="39">
        <f>$C$11*G7</f>
        <v>426.6109221000001</v>
      </c>
      <c r="H11" s="39">
        <f>$C$11*H7</f>
        <v>469.27201431000015</v>
      </c>
    </row>
    <row r="12" spans="1:8" x14ac:dyDescent="0.2">
      <c r="A12" s="39"/>
      <c r="B12" s="9"/>
      <c r="C12" s="1"/>
      <c r="D12" s="39"/>
      <c r="E12" s="39"/>
      <c r="F12" s="39"/>
      <c r="G12" s="39"/>
      <c r="H12" s="39"/>
    </row>
    <row r="13" spans="1:8" x14ac:dyDescent="0.2">
      <c r="A13" s="39" t="s">
        <v>17</v>
      </c>
      <c r="B13" s="43">
        <v>84.426999999999964</v>
      </c>
      <c r="C13" s="1"/>
      <c r="D13" s="42">
        <f>D10-D11</f>
        <v>57.693438000000015</v>
      </c>
      <c r="E13" s="42">
        <f>E10-E11</f>
        <v>63.462781800000016</v>
      </c>
      <c r="F13" s="42">
        <f>F10-F11</f>
        <v>69.809059980000029</v>
      </c>
      <c r="G13" s="42">
        <f>G10-G11</f>
        <v>76.789965978000055</v>
      </c>
      <c r="H13" s="42">
        <f>H10-H11</f>
        <v>84.468962575799992</v>
      </c>
    </row>
    <row r="14" spans="1:8" x14ac:dyDescent="0.2">
      <c r="A14" s="39" t="s">
        <v>121</v>
      </c>
      <c r="B14" s="31">
        <v>25.221</v>
      </c>
      <c r="C14" s="49">
        <v>0.3</v>
      </c>
      <c r="D14" s="39">
        <f>$C$14*$C$34*D7</f>
        <v>28.846718999999997</v>
      </c>
      <c r="E14" s="39">
        <f>$C$14*$C$34*E7</f>
        <v>31.731390899999997</v>
      </c>
      <c r="F14" s="39">
        <f>$C$14*$C$34*F7</f>
        <v>34.90452999</v>
      </c>
      <c r="G14" s="39">
        <f>$C$14*$C$34*G7</f>
        <v>38.394982989000006</v>
      </c>
      <c r="H14" s="39">
        <f>$C$14*$C$34*H7</f>
        <v>42.23448128790001</v>
      </c>
    </row>
    <row r="15" spans="1:8" x14ac:dyDescent="0.2">
      <c r="A15" s="39"/>
      <c r="B15" s="9"/>
      <c r="C15" s="1"/>
      <c r="D15" s="39"/>
      <c r="E15" s="39"/>
      <c r="F15" s="39"/>
      <c r="G15" s="39"/>
      <c r="H15" s="39"/>
    </row>
    <row r="16" spans="1:8" x14ac:dyDescent="0.2">
      <c r="A16" s="39" t="s">
        <v>16</v>
      </c>
      <c r="B16" s="43">
        <v>59.20599999999996</v>
      </c>
      <c r="C16" s="1"/>
      <c r="D16" s="42">
        <f>D13-D14</f>
        <v>28.846719000000018</v>
      </c>
      <c r="E16" s="42">
        <f>E13-E14</f>
        <v>31.731390900000019</v>
      </c>
      <c r="F16" s="42">
        <f>F13-F14</f>
        <v>34.904529990000029</v>
      </c>
      <c r="G16" s="42">
        <f>G13-G14</f>
        <v>38.394982989000049</v>
      </c>
      <c r="H16" s="42">
        <f>H13-H14</f>
        <v>42.234481287899982</v>
      </c>
    </row>
    <row r="17" spans="1:8" x14ac:dyDescent="0.2">
      <c r="A17" s="39" t="s">
        <v>15</v>
      </c>
      <c r="B17" s="31">
        <v>16.43</v>
      </c>
      <c r="C17" s="1" t="s">
        <v>113</v>
      </c>
      <c r="D17" s="72">
        <f ca="1">IF(D37-D43-D46-D55&gt;0,0.1*(D37-D43-D46-D55),0)</f>
        <v>19.635064882352943</v>
      </c>
      <c r="E17" s="72">
        <f ca="1">IF(E37-E43-E46-E55&gt;0,0.1*(E37-E43-E46-E55),0)</f>
        <v>20.988071351714371</v>
      </c>
      <c r="F17" s="72">
        <f ca="1">IF(F37-F43-F46-F55&gt;0,0.1*(F37-F43-F46-F55),0)</f>
        <v>22.433937290229284</v>
      </c>
      <c r="G17" s="72">
        <f ca="1">IF(G37-G43-G46-G55&gt;0,0.1*(G37-G43-G46-G55),0)</f>
        <v>23.978998188603505</v>
      </c>
      <c r="H17" s="72">
        <f ca="1">IF(H37-H43-H46-H55&gt;0,0.1*(H37-H43-H46-H55),0)</f>
        <v>25.630017974684506</v>
      </c>
    </row>
    <row r="18" spans="1:8" x14ac:dyDescent="0.2">
      <c r="A18" s="39"/>
      <c r="B18" s="9"/>
      <c r="C18" s="1"/>
      <c r="D18" s="39"/>
      <c r="E18" s="39"/>
      <c r="F18" s="39"/>
      <c r="G18" s="39"/>
      <c r="H18" s="39"/>
    </row>
    <row r="19" spans="1:8" x14ac:dyDescent="0.2">
      <c r="A19" s="39" t="s">
        <v>13</v>
      </c>
      <c r="B19" s="43">
        <v>42.775999999999961</v>
      </c>
      <c r="C19" s="33"/>
      <c r="D19" s="42">
        <f ca="1">D16-D17</f>
        <v>9.2116541176470754</v>
      </c>
      <c r="E19" s="42">
        <f ca="1">E16-E17</f>
        <v>10.743319548285648</v>
      </c>
      <c r="F19" s="42">
        <f ca="1">F16-F17</f>
        <v>12.470592699770744</v>
      </c>
      <c r="G19" s="42">
        <f ca="1">G16-G17</f>
        <v>14.415984800396544</v>
      </c>
      <c r="H19" s="42">
        <f ca="1">H16-H17</f>
        <v>16.604463313215476</v>
      </c>
    </row>
    <row r="20" spans="1:8" x14ac:dyDescent="0.2">
      <c r="A20" s="39" t="s">
        <v>12</v>
      </c>
      <c r="B20" s="55">
        <v>14.971</v>
      </c>
      <c r="C20" s="44">
        <v>0.35</v>
      </c>
      <c r="D20" s="39">
        <f ca="1">$C$20*D19</f>
        <v>3.2240789411764763</v>
      </c>
      <c r="E20" s="39">
        <f ca="1">$C$20*E19</f>
        <v>3.7601618418999765</v>
      </c>
      <c r="F20" s="39">
        <f ca="1">$C$20*F19</f>
        <v>4.3647074449197598</v>
      </c>
      <c r="G20" s="39">
        <f ca="1">$C$20*G19</f>
        <v>5.0455946801387901</v>
      </c>
      <c r="H20" s="39">
        <f ca="1">$C$20*H19</f>
        <v>5.8115621596254163</v>
      </c>
    </row>
    <row r="21" spans="1:8" x14ac:dyDescent="0.2">
      <c r="A21" s="39"/>
      <c r="B21" s="9"/>
      <c r="C21" s="1"/>
      <c r="D21" s="39"/>
      <c r="E21" s="39"/>
      <c r="F21" s="39"/>
      <c r="G21" s="39"/>
      <c r="H21" s="39"/>
    </row>
    <row r="22" spans="1:8" ht="13.5" thickBot="1" x14ac:dyDescent="0.25">
      <c r="A22" s="39" t="s">
        <v>4</v>
      </c>
      <c r="B22" s="53">
        <v>27.805</v>
      </c>
      <c r="C22" s="1"/>
      <c r="D22" s="74">
        <f ca="1">D19-D20</f>
        <v>5.9875751764705996</v>
      </c>
      <c r="E22" s="74">
        <f ca="1">E19-E20</f>
        <v>6.9831577063856711</v>
      </c>
      <c r="F22" s="74">
        <f ca="1">F19-F20</f>
        <v>8.1058852548509854</v>
      </c>
      <c r="G22" s="74">
        <f ca="1">G19-G20</f>
        <v>9.3703901202577526</v>
      </c>
      <c r="H22" s="74">
        <f ca="1">H19-H20</f>
        <v>10.792901153590059</v>
      </c>
    </row>
    <row r="23" spans="1:8" ht="13.5" thickTop="1" x14ac:dyDescent="0.2">
      <c r="A23" s="39"/>
      <c r="B23" s="9"/>
      <c r="C23" s="1"/>
      <c r="D23" s="39"/>
      <c r="E23" s="39"/>
      <c r="F23" s="39"/>
      <c r="G23" s="39"/>
      <c r="H23" s="39"/>
    </row>
    <row r="24" spans="1:8" x14ac:dyDescent="0.2">
      <c r="A24" s="72" t="s">
        <v>116</v>
      </c>
      <c r="B24" s="51"/>
      <c r="C24" s="1"/>
      <c r="D24" s="39"/>
      <c r="E24" s="39"/>
      <c r="F24" s="39"/>
      <c r="G24" s="39"/>
      <c r="H24" s="39"/>
    </row>
    <row r="25" spans="1:8" ht="13.5" x14ac:dyDescent="0.25">
      <c r="A25" s="39"/>
      <c r="B25" s="50"/>
      <c r="C25" s="1"/>
      <c r="D25" s="39"/>
      <c r="E25" s="39"/>
      <c r="F25" s="39"/>
      <c r="G25" s="39"/>
      <c r="H25" s="39"/>
    </row>
    <row r="26" spans="1:8" x14ac:dyDescent="0.2">
      <c r="A26" s="39" t="s">
        <v>48</v>
      </c>
      <c r="B26" s="8"/>
      <c r="C26" s="1"/>
      <c r="D26" s="39"/>
      <c r="E26" s="39"/>
      <c r="F26" s="39"/>
      <c r="G26" s="39"/>
      <c r="H26" s="39"/>
    </row>
    <row r="27" spans="1:8" x14ac:dyDescent="0.2">
      <c r="A27" s="39" t="s">
        <v>115</v>
      </c>
      <c r="B27" s="46">
        <v>7.1519999999999868</v>
      </c>
      <c r="C27" s="44">
        <v>0.02</v>
      </c>
      <c r="D27" s="72">
        <f>IF(D11&gt;0,$C$27*D7,(D57-D28-D29-D30-D31-D34-D35-D36))</f>
        <v>12.820763999999999</v>
      </c>
      <c r="E27" s="72">
        <f>IF(E11&gt;0,$C$27*E7,(E57-E28-E29-E30-E31-E34-E35-E36))</f>
        <v>14.1028404</v>
      </c>
      <c r="F27" s="72">
        <f>IF(F11&gt;0,$C$27*F7,(F57-F28-F29-F30-F31-F34-F35-F36))</f>
        <v>15.513124440000002</v>
      </c>
      <c r="G27" s="72">
        <f>IF(G11&gt;0,$C$27*G7,(G57-G28-G29-G30-G31-G34-G35-G36))</f>
        <v>17.064436884000003</v>
      </c>
      <c r="H27" s="72">
        <f>IF(H11&gt;0,$C$27*H7,(H57-H28-H29-H30-H31-H34-H35-H36))</f>
        <v>18.770880572400007</v>
      </c>
    </row>
    <row r="28" spans="1:8" x14ac:dyDescent="0.2">
      <c r="A28" s="39" t="s">
        <v>114</v>
      </c>
      <c r="B28" s="9">
        <v>70.537999999999997</v>
      </c>
      <c r="C28" s="44">
        <v>0.13</v>
      </c>
      <c r="D28" s="39">
        <f>$C$28*D7</f>
        <v>83.334965999999994</v>
      </c>
      <c r="E28" s="39">
        <f>$C$28*E7</f>
        <v>91.668462599999998</v>
      </c>
      <c r="F28" s="39">
        <f>$C$28*F7</f>
        <v>100.83530886000001</v>
      </c>
      <c r="G28" s="39">
        <f>$C$28*G7</f>
        <v>110.91883974600003</v>
      </c>
      <c r="H28" s="39">
        <f>$C$28*H7</f>
        <v>122.01072372060004</v>
      </c>
    </row>
    <row r="29" spans="1:8" x14ac:dyDescent="0.2">
      <c r="A29" s="39" t="s">
        <v>0</v>
      </c>
      <c r="B29" s="9">
        <v>39.033000000000001</v>
      </c>
      <c r="C29" s="44">
        <v>0.05</v>
      </c>
      <c r="D29" s="39">
        <f>$C$29*D7</f>
        <v>32.051909999999999</v>
      </c>
      <c r="E29" s="39">
        <f>$C$29*E7</f>
        <v>35.257100999999999</v>
      </c>
      <c r="F29" s="39">
        <f>$C$29*F7</f>
        <v>38.782811100000004</v>
      </c>
      <c r="G29" s="39">
        <f>$C$29*G7</f>
        <v>42.661092210000014</v>
      </c>
      <c r="H29" s="39">
        <f>$C$29*H7</f>
        <v>46.927201431000015</v>
      </c>
    </row>
    <row r="30" spans="1:8" x14ac:dyDescent="0.2">
      <c r="A30" s="39" t="s">
        <v>46</v>
      </c>
      <c r="B30" s="9">
        <v>9.3390000000000004</v>
      </c>
      <c r="C30" s="44" t="s">
        <v>109</v>
      </c>
      <c r="D30" s="39">
        <f>$B$30</f>
        <v>9.3390000000000004</v>
      </c>
      <c r="E30" s="39">
        <f>$B$30</f>
        <v>9.3390000000000004</v>
      </c>
      <c r="F30" s="39">
        <f>$B$30</f>
        <v>9.3390000000000004</v>
      </c>
      <c r="G30" s="39">
        <f>$B$30</f>
        <v>9.3390000000000004</v>
      </c>
      <c r="H30" s="39">
        <f>$B$30</f>
        <v>9.3390000000000004</v>
      </c>
    </row>
    <row r="31" spans="1:8" x14ac:dyDescent="0.2">
      <c r="A31" s="39" t="s">
        <v>45</v>
      </c>
      <c r="B31" s="9">
        <v>27.076000000000001</v>
      </c>
      <c r="C31" s="44">
        <v>0.06</v>
      </c>
      <c r="D31" s="39">
        <f>$C$31*D7</f>
        <v>38.462291999999998</v>
      </c>
      <c r="E31" s="39">
        <f>$C$31*E7</f>
        <v>42.308521200000001</v>
      </c>
      <c r="F31" s="39">
        <f>$C$31*F7</f>
        <v>46.539373320000003</v>
      </c>
      <c r="G31" s="39">
        <f>$C$31*G7</f>
        <v>51.193310652000008</v>
      </c>
      <c r="H31" s="39">
        <f>$C$31*H7</f>
        <v>56.312641717200016</v>
      </c>
    </row>
    <row r="32" spans="1:8" x14ac:dyDescent="0.2">
      <c r="A32" s="75" t="s">
        <v>44</v>
      </c>
      <c r="B32" s="43">
        <v>153.13799999999998</v>
      </c>
      <c r="C32" s="1"/>
      <c r="D32" s="42">
        <f>SUM(D27:D31)</f>
        <v>176.00893199999999</v>
      </c>
      <c r="E32" s="42">
        <f>SUM(E27:E31)</f>
        <v>192.67592519999999</v>
      </c>
      <c r="F32" s="42">
        <f>SUM(F27:F31)</f>
        <v>211.00961772000002</v>
      </c>
      <c r="G32" s="42">
        <f>SUM(G27:G31)</f>
        <v>231.17667949200006</v>
      </c>
      <c r="H32" s="42">
        <f>SUM(H27:H31)</f>
        <v>253.36044744120008</v>
      </c>
    </row>
    <row r="33" spans="1:8" x14ac:dyDescent="0.2">
      <c r="A33" s="39"/>
      <c r="B33" s="9"/>
      <c r="C33" s="1"/>
      <c r="D33" s="39"/>
      <c r="E33" s="39"/>
      <c r="F33" s="39"/>
      <c r="G33" s="39"/>
      <c r="H33" s="39"/>
    </row>
    <row r="34" spans="1:8" x14ac:dyDescent="0.2">
      <c r="A34" s="39" t="s">
        <v>41</v>
      </c>
      <c r="B34" s="43">
        <v>81.647999999999996</v>
      </c>
      <c r="C34" s="44">
        <v>0.15</v>
      </c>
      <c r="D34" s="39">
        <f>$C$34*D7</f>
        <v>96.155729999999991</v>
      </c>
      <c r="E34" s="39">
        <f>$C$34*E7</f>
        <v>105.771303</v>
      </c>
      <c r="F34" s="39">
        <f>$C$34*F7</f>
        <v>116.34843330000001</v>
      </c>
      <c r="G34" s="39">
        <f>$C$34*G7</f>
        <v>127.98327663000002</v>
      </c>
      <c r="H34" s="39">
        <f>$C$34*H7</f>
        <v>140.78160429300004</v>
      </c>
    </row>
    <row r="35" spans="1:8" x14ac:dyDescent="0.2">
      <c r="A35" s="39" t="s">
        <v>40</v>
      </c>
      <c r="B35" s="9">
        <v>9.4149999999999991</v>
      </c>
      <c r="C35" s="1" t="s">
        <v>109</v>
      </c>
      <c r="D35" s="38">
        <f>$B$35</f>
        <v>9.4149999999999991</v>
      </c>
      <c r="E35" s="38">
        <f>$B$35</f>
        <v>9.4149999999999991</v>
      </c>
      <c r="F35" s="38">
        <f>$B$35</f>
        <v>9.4149999999999991</v>
      </c>
      <c r="G35" s="38">
        <f>$B$35</f>
        <v>9.4149999999999991</v>
      </c>
      <c r="H35" s="38">
        <f>$B$35</f>
        <v>9.4149999999999991</v>
      </c>
    </row>
    <row r="36" spans="1:8" x14ac:dyDescent="0.2">
      <c r="A36" s="39" t="s">
        <v>39</v>
      </c>
      <c r="B36" s="9">
        <v>24.641999999999999</v>
      </c>
      <c r="C36" s="49">
        <v>0.05</v>
      </c>
      <c r="D36" s="38">
        <f>D7*$C$36</f>
        <v>32.051909999999999</v>
      </c>
      <c r="E36" s="38">
        <f>E7*$C$36</f>
        <v>35.257100999999999</v>
      </c>
      <c r="F36" s="38">
        <f>F7*$C$36</f>
        <v>38.782811100000004</v>
      </c>
      <c r="G36" s="38">
        <f>G7*$C$36</f>
        <v>42.661092210000014</v>
      </c>
      <c r="H36" s="38">
        <f>H7*$C$36</f>
        <v>46.927201431000015</v>
      </c>
    </row>
    <row r="37" spans="1:8" ht="15" x14ac:dyDescent="0.35">
      <c r="A37" s="75" t="s">
        <v>38</v>
      </c>
      <c r="B37" s="48">
        <v>268.84299999999996</v>
      </c>
      <c r="C37" s="1"/>
      <c r="D37" s="42">
        <f>D32+D34+D35+D36</f>
        <v>313.63157200000001</v>
      </c>
      <c r="E37" s="42">
        <f>E32+E34+E35+E36</f>
        <v>343.11932919999998</v>
      </c>
      <c r="F37" s="42">
        <f>F32+F34+F35+F36</f>
        <v>375.55586212000009</v>
      </c>
      <c r="G37" s="42">
        <f>G32+G34+G35+G36</f>
        <v>411.23604833200011</v>
      </c>
      <c r="H37" s="42">
        <f>H32+H34+H35+H36</f>
        <v>450.48425316520013</v>
      </c>
    </row>
    <row r="38" spans="1:8" x14ac:dyDescent="0.2">
      <c r="A38" s="39"/>
      <c r="B38" s="9"/>
      <c r="C38" s="1"/>
      <c r="D38" s="39"/>
      <c r="E38" s="39"/>
      <c r="F38" s="39"/>
      <c r="G38" s="39"/>
      <c r="H38" s="39"/>
    </row>
    <row r="39" spans="1:8" x14ac:dyDescent="0.2">
      <c r="A39" s="39" t="s">
        <v>37</v>
      </c>
      <c r="B39" s="9"/>
      <c r="C39" s="1"/>
      <c r="D39" s="39"/>
      <c r="E39" s="39"/>
      <c r="F39" s="39"/>
      <c r="G39" s="39"/>
      <c r="H39" s="39"/>
    </row>
    <row r="40" spans="1:8" x14ac:dyDescent="0.2">
      <c r="A40" s="39" t="s">
        <v>35</v>
      </c>
      <c r="B40" s="46">
        <v>36.951000000000001</v>
      </c>
      <c r="C40" s="44">
        <v>0.06</v>
      </c>
      <c r="D40" s="39">
        <f>$C$40*D7</f>
        <v>38.462291999999998</v>
      </c>
      <c r="E40" s="39">
        <f>$C$40*E7</f>
        <v>42.308521200000001</v>
      </c>
      <c r="F40" s="39">
        <f>$C$40*F7</f>
        <v>46.539373320000003</v>
      </c>
      <c r="G40" s="39">
        <f>$C$40*G7</f>
        <v>51.193310652000008</v>
      </c>
      <c r="H40" s="39">
        <f>$C$40*H7</f>
        <v>56.312641717200016</v>
      </c>
    </row>
    <row r="41" spans="1:8" x14ac:dyDescent="0.2">
      <c r="A41" s="39" t="s">
        <v>33</v>
      </c>
      <c r="B41" s="9">
        <v>31.206</v>
      </c>
      <c r="C41" s="44">
        <v>0.05</v>
      </c>
      <c r="D41" s="39">
        <f>$C$41*D7</f>
        <v>32.051909999999999</v>
      </c>
      <c r="E41" s="39">
        <f>$C$41*E7</f>
        <v>35.257100999999999</v>
      </c>
      <c r="F41" s="39">
        <f>$C$41*F7</f>
        <v>38.782811100000004</v>
      </c>
      <c r="G41" s="39">
        <f>$C$41*G7</f>
        <v>42.661092210000014</v>
      </c>
      <c r="H41" s="39">
        <f>$C$41*H7</f>
        <v>46.927201431000015</v>
      </c>
    </row>
    <row r="42" spans="1:8" x14ac:dyDescent="0.2">
      <c r="A42" s="39" t="s">
        <v>32</v>
      </c>
      <c r="B42" s="9">
        <v>3.6629999999999998</v>
      </c>
      <c r="C42" s="33" t="s">
        <v>109</v>
      </c>
      <c r="D42" s="38">
        <f>$B$42</f>
        <v>3.6629999999999998</v>
      </c>
      <c r="E42" s="38">
        <f>$B$42</f>
        <v>3.6629999999999998</v>
      </c>
      <c r="F42" s="38">
        <f>$B$42</f>
        <v>3.6629999999999998</v>
      </c>
      <c r="G42" s="38">
        <f>$B$42</f>
        <v>3.6629999999999998</v>
      </c>
      <c r="H42" s="38">
        <f>$B$42</f>
        <v>3.6629999999999998</v>
      </c>
    </row>
    <row r="43" spans="1:8" x14ac:dyDescent="0.2">
      <c r="A43" s="75" t="s">
        <v>31</v>
      </c>
      <c r="B43" s="43">
        <v>71.819999999999993</v>
      </c>
      <c r="C43" s="33"/>
      <c r="D43" s="42">
        <f>SUM(D40:D42)</f>
        <v>74.177201999999994</v>
      </c>
      <c r="E43" s="42">
        <f>SUM(E40:E42)</f>
        <v>81.228622200000004</v>
      </c>
      <c r="F43" s="42">
        <f>SUM(F40:F42)</f>
        <v>88.98518442000001</v>
      </c>
      <c r="G43" s="42">
        <f>SUM(G40:G42)</f>
        <v>97.517402862000026</v>
      </c>
      <c r="H43" s="42">
        <f>SUM(H40:H42)</f>
        <v>106.90284314820003</v>
      </c>
    </row>
    <row r="44" spans="1:8" x14ac:dyDescent="0.2">
      <c r="A44" s="39"/>
      <c r="B44" s="9"/>
      <c r="C44" s="1"/>
      <c r="D44" s="39"/>
      <c r="E44" s="39"/>
      <c r="F44" s="39"/>
      <c r="G44" s="39"/>
      <c r="H44" s="39"/>
    </row>
    <row r="45" spans="1:8" x14ac:dyDescent="0.2">
      <c r="A45" s="39" t="s">
        <v>30</v>
      </c>
      <c r="B45" s="9">
        <v>157.72</v>
      </c>
      <c r="C45" s="1" t="s">
        <v>113</v>
      </c>
      <c r="D45" s="72">
        <f ca="1">IF(D37-D43-D46-D55&gt;0,D37-D43-D46-D55,0)</f>
        <v>196.35064882352941</v>
      </c>
      <c r="E45" s="72">
        <f ca="1">IF(E37-E43-E46-E55&gt;0,E37-E43-E46-E55,0)</f>
        <v>209.8807135171437</v>
      </c>
      <c r="F45" s="72">
        <f ca="1">IF(F37-F43-F46-F55&gt;0,F37-F43-F46-F55,0)</f>
        <v>224.33937290229284</v>
      </c>
      <c r="G45" s="72">
        <f ca="1">IF(G37-G43-G46-G55&gt;0,G37-G43-G46-G55,0)</f>
        <v>239.78998188603504</v>
      </c>
      <c r="H45" s="72">
        <f ca="1">IF(H37-H43-H46-H55&gt;0,H37-H43-H46-H55,0)</f>
        <v>256.30017974684506</v>
      </c>
    </row>
    <row r="46" spans="1:8" x14ac:dyDescent="0.2">
      <c r="A46" s="39" t="s">
        <v>112</v>
      </c>
      <c r="B46" s="9">
        <v>21.417999999999999</v>
      </c>
      <c r="C46" s="44">
        <v>0.03</v>
      </c>
      <c r="D46" s="39">
        <f>$C$46*D7</f>
        <v>19.231145999999999</v>
      </c>
      <c r="E46" s="39">
        <f>$C$46*E7</f>
        <v>21.154260600000001</v>
      </c>
      <c r="F46" s="39">
        <f>$C$46*F7</f>
        <v>23.269686660000001</v>
      </c>
      <c r="G46" s="39">
        <f>$C$46*G7</f>
        <v>25.596655326000004</v>
      </c>
      <c r="H46" s="39">
        <f>$C$46*H7</f>
        <v>28.156320858600008</v>
      </c>
    </row>
    <row r="47" spans="1:8" x14ac:dyDescent="0.2">
      <c r="A47" s="75" t="s">
        <v>111</v>
      </c>
      <c r="B47" s="43">
        <v>250.958</v>
      </c>
      <c r="C47" s="1"/>
      <c r="D47" s="42">
        <f ca="1">D43+D45+D46</f>
        <v>289.75899682352946</v>
      </c>
      <c r="E47" s="42">
        <f ca="1">E43+E45+E46</f>
        <v>312.26359631714371</v>
      </c>
      <c r="F47" s="42">
        <f ca="1">F43+F45+F46</f>
        <v>336.59424398229282</v>
      </c>
      <c r="G47" s="42">
        <f ca="1">G43+G45+G46</f>
        <v>362.90404007403509</v>
      </c>
      <c r="H47" s="42">
        <f ca="1">H43+H45+H46</f>
        <v>391.35934375364508</v>
      </c>
    </row>
    <row r="48" spans="1:8" x14ac:dyDescent="0.2">
      <c r="A48" s="39"/>
      <c r="B48" s="9"/>
      <c r="C48" s="1"/>
      <c r="D48" s="39"/>
      <c r="E48" s="39"/>
      <c r="F48" s="39"/>
      <c r="G48" s="39"/>
      <c r="H48" s="39"/>
    </row>
    <row r="49" spans="1:8" x14ac:dyDescent="0.2">
      <c r="A49" s="39" t="s">
        <v>26</v>
      </c>
      <c r="B49" s="9"/>
      <c r="C49" s="1"/>
      <c r="D49" s="39"/>
      <c r="E49" s="39"/>
      <c r="F49" s="39"/>
      <c r="G49" s="39"/>
      <c r="H49" s="39"/>
    </row>
    <row r="50" spans="1:8" x14ac:dyDescent="0.2">
      <c r="A50" s="39" t="s">
        <v>2</v>
      </c>
      <c r="B50" s="9">
        <v>1.702</v>
      </c>
      <c r="C50" s="1" t="s">
        <v>109</v>
      </c>
      <c r="D50" s="38">
        <f>$B$50</f>
        <v>1.702</v>
      </c>
      <c r="E50" s="38">
        <f>$B$50</f>
        <v>1.702</v>
      </c>
      <c r="F50" s="38">
        <f>$B$50</f>
        <v>1.702</v>
      </c>
      <c r="G50" s="38">
        <f>$B$50</f>
        <v>1.702</v>
      </c>
      <c r="H50" s="38">
        <f>$B$50</f>
        <v>1.702</v>
      </c>
    </row>
    <row r="51" spans="1:8" x14ac:dyDescent="0.2">
      <c r="A51" s="39" t="s">
        <v>25</v>
      </c>
      <c r="B51" s="9">
        <v>55.512999999999998</v>
      </c>
      <c r="C51" s="1" t="s">
        <v>109</v>
      </c>
      <c r="D51" s="38">
        <f>$B$51</f>
        <v>55.512999999999998</v>
      </c>
      <c r="E51" s="38">
        <f>$B$51</f>
        <v>55.512999999999998</v>
      </c>
      <c r="F51" s="38">
        <f>$B$51</f>
        <v>55.512999999999998</v>
      </c>
      <c r="G51" s="38">
        <f>$B$51</f>
        <v>55.512999999999998</v>
      </c>
      <c r="H51" s="38">
        <f>$B$51</f>
        <v>55.512999999999998</v>
      </c>
    </row>
    <row r="52" spans="1:8" ht="51" x14ac:dyDescent="0.2">
      <c r="A52" s="39" t="s">
        <v>3</v>
      </c>
      <c r="B52" s="9">
        <v>118.729</v>
      </c>
      <c r="C52" s="40" t="s">
        <v>110</v>
      </c>
      <c r="D52" s="39">
        <f ca="1">B52+D22</f>
        <v>124.7165751764706</v>
      </c>
      <c r="E52" s="39">
        <f ca="1">D52+E22</f>
        <v>131.69973288285627</v>
      </c>
      <c r="F52" s="39">
        <f ca="1">E52+F22</f>
        <v>139.80561813770726</v>
      </c>
      <c r="G52" s="39">
        <f ca="1">F52+G22</f>
        <v>149.17600825796501</v>
      </c>
      <c r="H52" s="39">
        <f ca="1">G52+H22</f>
        <v>159.96890941155507</v>
      </c>
    </row>
    <row r="53" spans="1:8" x14ac:dyDescent="0.2">
      <c r="A53" s="39" t="s">
        <v>24</v>
      </c>
      <c r="B53" s="9">
        <v>158.059</v>
      </c>
      <c r="C53" s="1" t="s">
        <v>109</v>
      </c>
      <c r="D53" s="38">
        <f>$B$53</f>
        <v>158.059</v>
      </c>
      <c r="E53" s="38">
        <f>$B$53</f>
        <v>158.059</v>
      </c>
      <c r="F53" s="38">
        <f>$B$53</f>
        <v>158.059</v>
      </c>
      <c r="G53" s="38">
        <f>$B$53</f>
        <v>158.059</v>
      </c>
      <c r="H53" s="38">
        <f>$B$53</f>
        <v>158.059</v>
      </c>
    </row>
    <row r="54" spans="1:8" x14ac:dyDescent="0.2">
      <c r="A54" s="39"/>
      <c r="B54" s="9"/>
      <c r="C54" s="1"/>
      <c r="D54" s="39"/>
      <c r="E54" s="39"/>
      <c r="F54" s="39"/>
      <c r="G54" s="39"/>
      <c r="H54" s="39"/>
    </row>
    <row r="55" spans="1:8" x14ac:dyDescent="0.2">
      <c r="A55" s="75" t="s">
        <v>23</v>
      </c>
      <c r="B55" s="31">
        <v>17.885000000000002</v>
      </c>
      <c r="C55" s="33"/>
      <c r="D55" s="42">
        <f ca="1">SUM(D50:D52)-D53</f>
        <v>23.872575176470605</v>
      </c>
      <c r="E55" s="42">
        <f ca="1">SUM(E50:E52)-E53</f>
        <v>30.855732882856273</v>
      </c>
      <c r="F55" s="42">
        <f ca="1">SUM(F50:F52)-F53</f>
        <v>38.961618137707262</v>
      </c>
      <c r="G55" s="42">
        <f ca="1">SUM(G50:G52)-G53</f>
        <v>48.332008257965015</v>
      </c>
      <c r="H55" s="42">
        <f ca="1">SUM(H50:H52)-H53</f>
        <v>59.12490941155508</v>
      </c>
    </row>
    <row r="56" spans="1:8" x14ac:dyDescent="0.2">
      <c r="A56" s="39"/>
      <c r="B56" s="9"/>
      <c r="C56" s="1"/>
      <c r="D56" s="39"/>
      <c r="E56" s="39"/>
      <c r="F56" s="39"/>
      <c r="G56" s="39"/>
      <c r="H56" s="39"/>
    </row>
    <row r="57" spans="1:8" ht="15" x14ac:dyDescent="0.35">
      <c r="A57" s="39" t="s">
        <v>22</v>
      </c>
      <c r="B57" s="34">
        <v>268.84299999999996</v>
      </c>
      <c r="C57" s="33"/>
      <c r="D57" s="74">
        <f ca="1">D55+D47</f>
        <v>313.63157200000006</v>
      </c>
      <c r="E57" s="74">
        <f ca="1">E55+E47</f>
        <v>343.11932919999998</v>
      </c>
      <c r="F57" s="74">
        <f ca="1">F55+F47</f>
        <v>375.55586212000009</v>
      </c>
      <c r="G57" s="74">
        <f ca="1">G55+G47</f>
        <v>411.23604833200011</v>
      </c>
      <c r="H57" s="74">
        <f ca="1">H55+H47</f>
        <v>450.48425316520013</v>
      </c>
    </row>
  </sheetData>
  <mergeCells count="3">
    <mergeCell ref="A2:D2"/>
    <mergeCell ref="A3:D3"/>
    <mergeCell ref="D4:H4"/>
  </mergeCells>
  <phoneticPr fontId="39"/>
  <pageMargins left="0.75" right="0.75" top="1" bottom="1" header="0.5" footer="0.5"/>
  <pageSetup fitToHeight="0" orientation="landscape" r:id="rId1"/>
  <headerFooter alignWithMargins="0"/>
  <rowBreaks count="1" manualBreakCount="1">
    <brk id="2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topLeftCell="A19" workbookViewId="0">
      <selection activeCell="C30" sqref="C30"/>
    </sheetView>
  </sheetViews>
  <sheetFormatPr defaultRowHeight="12.75" x14ac:dyDescent="0.2"/>
  <cols>
    <col min="1" max="1" width="37.42578125" bestFit="1" customWidth="1"/>
  </cols>
  <sheetData>
    <row r="1" spans="1:5" s="5" customFormat="1" ht="18.75" x14ac:dyDescent="0.3">
      <c r="A1" s="7" t="s">
        <v>373</v>
      </c>
    </row>
    <row r="2" spans="1:5" ht="22.5" customHeight="1" x14ac:dyDescent="0.2">
      <c r="A2" s="13" t="s">
        <v>374</v>
      </c>
      <c r="E2" s="13" t="s">
        <v>139</v>
      </c>
    </row>
    <row r="3" spans="1:5" x14ac:dyDescent="0.2">
      <c r="A3" s="13" t="s">
        <v>108</v>
      </c>
    </row>
    <row r="4" spans="1:5" x14ac:dyDescent="0.2">
      <c r="A4" s="103" t="s">
        <v>96</v>
      </c>
      <c r="B4" s="102">
        <v>2011</v>
      </c>
      <c r="C4" s="102">
        <v>2012</v>
      </c>
      <c r="D4" s="101">
        <v>2013</v>
      </c>
    </row>
    <row r="5" spans="1:5" x14ac:dyDescent="0.2">
      <c r="A5" s="94" t="s">
        <v>95</v>
      </c>
      <c r="B5" s="96">
        <v>20613</v>
      </c>
      <c r="C5" s="2"/>
      <c r="D5" s="100"/>
    </row>
    <row r="6" spans="1:5" x14ac:dyDescent="0.2">
      <c r="A6" s="94" t="s">
        <v>107</v>
      </c>
      <c r="B6" s="93"/>
      <c r="C6" s="98">
        <v>0.25</v>
      </c>
      <c r="D6" s="99">
        <v>0.3</v>
      </c>
    </row>
    <row r="7" spans="1:5" x14ac:dyDescent="0.2">
      <c r="A7" s="94" t="s">
        <v>106</v>
      </c>
      <c r="B7" s="93"/>
      <c r="C7" s="98">
        <v>0.86</v>
      </c>
      <c r="D7" s="97">
        <v>0.86</v>
      </c>
    </row>
    <row r="8" spans="1:5" x14ac:dyDescent="0.2">
      <c r="A8" s="94" t="s">
        <v>105</v>
      </c>
      <c r="B8" s="93"/>
      <c r="C8" s="98">
        <v>0.12</v>
      </c>
      <c r="D8" s="97">
        <v>0.11</v>
      </c>
    </row>
    <row r="9" spans="1:5" x14ac:dyDescent="0.2">
      <c r="A9" s="94" t="s">
        <v>82</v>
      </c>
      <c r="B9" s="96">
        <v>760</v>
      </c>
      <c r="C9" s="96">
        <v>660</v>
      </c>
      <c r="D9" s="95">
        <v>560</v>
      </c>
    </row>
    <row r="10" spans="1:5" x14ac:dyDescent="0.2">
      <c r="A10" s="94" t="s">
        <v>104</v>
      </c>
      <c r="B10" s="96">
        <v>100</v>
      </c>
      <c r="C10" s="96">
        <v>100</v>
      </c>
      <c r="D10" s="95">
        <v>100</v>
      </c>
    </row>
    <row r="11" spans="1:5" x14ac:dyDescent="0.2">
      <c r="A11" s="94" t="s">
        <v>103</v>
      </c>
      <c r="B11" s="93"/>
      <c r="C11" s="98">
        <v>0.1</v>
      </c>
      <c r="D11" s="99">
        <v>0.1</v>
      </c>
    </row>
    <row r="12" spans="1:5" x14ac:dyDescent="0.2">
      <c r="A12" s="94" t="s">
        <v>102</v>
      </c>
      <c r="B12" s="93"/>
      <c r="C12" s="98">
        <v>0.45</v>
      </c>
      <c r="D12" s="99">
        <v>0.45</v>
      </c>
    </row>
    <row r="13" spans="1:5" x14ac:dyDescent="0.2">
      <c r="A13" s="94" t="s">
        <v>101</v>
      </c>
      <c r="B13" s="93"/>
      <c r="C13" s="98">
        <v>0.5</v>
      </c>
      <c r="D13" s="97">
        <v>0.5</v>
      </c>
    </row>
    <row r="14" spans="1:5" x14ac:dyDescent="0.2">
      <c r="A14" s="94" t="s">
        <v>100</v>
      </c>
      <c r="B14" s="93"/>
      <c r="C14" s="98">
        <v>0.28999999999999998</v>
      </c>
      <c r="D14" s="97">
        <v>0.28999999999999998</v>
      </c>
    </row>
    <row r="15" spans="1:5" x14ac:dyDescent="0.2">
      <c r="A15" s="94" t="s">
        <v>85</v>
      </c>
      <c r="B15" s="93"/>
      <c r="C15" s="96">
        <v>280</v>
      </c>
      <c r="D15" s="95">
        <v>270</v>
      </c>
    </row>
    <row r="16" spans="1:5" x14ac:dyDescent="0.2">
      <c r="A16" s="94" t="s">
        <v>99</v>
      </c>
      <c r="B16" s="93"/>
      <c r="C16" s="92">
        <v>0.14499999999999999</v>
      </c>
      <c r="D16" s="91">
        <v>0.14399999999999999</v>
      </c>
    </row>
    <row r="17" spans="1:6" x14ac:dyDescent="0.2">
      <c r="A17" s="90" t="s">
        <v>98</v>
      </c>
      <c r="B17" s="89">
        <v>1730</v>
      </c>
      <c r="C17" s="88"/>
      <c r="D17" s="87"/>
    </row>
    <row r="18" spans="1:6" ht="20.25" customHeight="1" x14ac:dyDescent="0.2">
      <c r="A18" s="13" t="s">
        <v>97</v>
      </c>
      <c r="B18" s="82"/>
    </row>
    <row r="19" spans="1:6" x14ac:dyDescent="0.2">
      <c r="A19" t="s">
        <v>96</v>
      </c>
      <c r="B19" s="86">
        <v>2011</v>
      </c>
      <c r="C19" s="86">
        <v>2012</v>
      </c>
      <c r="D19" s="86">
        <v>2013</v>
      </c>
    </row>
    <row r="20" spans="1:6" x14ac:dyDescent="0.2">
      <c r="A20" t="s">
        <v>95</v>
      </c>
      <c r="C20" s="85">
        <f>B5*(1+C6)</f>
        <v>25766.25</v>
      </c>
      <c r="D20" s="85">
        <f>C20*(1+D6)</f>
        <v>33496.125</v>
      </c>
    </row>
    <row r="21" spans="1:6" ht="15" x14ac:dyDescent="0.35">
      <c r="A21" t="s">
        <v>94</v>
      </c>
      <c r="C21" s="84">
        <f>C7*C20</f>
        <v>22158.974999999999</v>
      </c>
      <c r="D21" s="84">
        <f>D7*D20</f>
        <v>28806.6675</v>
      </c>
    </row>
    <row r="22" spans="1:6" x14ac:dyDescent="0.2">
      <c r="A22" t="s">
        <v>93</v>
      </c>
      <c r="C22" s="82">
        <f>C20-C21</f>
        <v>3607.2750000000015</v>
      </c>
      <c r="D22" s="82">
        <f>D20-D21</f>
        <v>4689.4575000000004</v>
      </c>
    </row>
    <row r="23" spans="1:6" ht="18.75" customHeight="1" x14ac:dyDescent="0.2">
      <c r="A23" t="s">
        <v>92</v>
      </c>
      <c r="C23" s="82">
        <f>C8*C20</f>
        <v>3091.95</v>
      </c>
      <c r="D23" s="82">
        <f>D8*D20</f>
        <v>3684.57375</v>
      </c>
    </row>
    <row r="24" spans="1:6" ht="15" x14ac:dyDescent="0.35">
      <c r="A24" t="s">
        <v>91</v>
      </c>
      <c r="C24" s="84">
        <f ca="1">C11*(C9+C10+C39)</f>
        <v>230.78579691516708</v>
      </c>
      <c r="D24" s="84">
        <f ca="1">D11*(D9+D10+D39)</f>
        <v>326.56482651945191</v>
      </c>
    </row>
    <row r="25" spans="1:6" x14ac:dyDescent="0.2">
      <c r="A25" t="s">
        <v>90</v>
      </c>
      <c r="C25" s="82">
        <f ca="1">C22-C23-C24</f>
        <v>284.53920308483453</v>
      </c>
      <c r="D25" s="82">
        <f ca="1">D22-D23-D24</f>
        <v>678.31892348054851</v>
      </c>
    </row>
    <row r="26" spans="1:6" ht="18.75" customHeight="1" x14ac:dyDescent="0.35">
      <c r="A26" t="s">
        <v>89</v>
      </c>
      <c r="C26" s="84">
        <f ca="1">C12*C25</f>
        <v>128.04264138817555</v>
      </c>
      <c r="D26" s="84">
        <f ca="1">D12*D25</f>
        <v>305.24351556624686</v>
      </c>
    </row>
    <row r="27" spans="1:6" x14ac:dyDescent="0.2">
      <c r="A27" t="s">
        <v>88</v>
      </c>
      <c r="C27" s="82">
        <f ca="1">C25-C26</f>
        <v>156.49656169665897</v>
      </c>
      <c r="D27" s="82">
        <f ca="1">D25-D26</f>
        <v>373.07540791430165</v>
      </c>
    </row>
    <row r="28" spans="1:6" ht="18.75" customHeight="1" x14ac:dyDescent="0.35">
      <c r="A28" t="s">
        <v>5</v>
      </c>
      <c r="C28" s="84">
        <f ca="1">C13*C27</f>
        <v>78.248280848329486</v>
      </c>
      <c r="D28" s="84">
        <f ca="1">D13*D27</f>
        <v>186.53770395715082</v>
      </c>
      <c r="F28" t="s">
        <v>138</v>
      </c>
    </row>
    <row r="29" spans="1:6" ht="16.5" customHeight="1" x14ac:dyDescent="0.2">
      <c r="A29" t="s">
        <v>6</v>
      </c>
      <c r="C29" s="82">
        <f ca="1">C27-C28</f>
        <v>78.248280848329486</v>
      </c>
      <c r="D29" s="82">
        <f ca="1">D27-D28</f>
        <v>186.53770395715082</v>
      </c>
      <c r="F29" s="25" t="s">
        <v>375</v>
      </c>
    </row>
    <row r="30" spans="1:6" ht="22.5" customHeight="1" x14ac:dyDescent="0.2">
      <c r="A30" s="13" t="s">
        <v>87</v>
      </c>
      <c r="C30" s="82"/>
    </row>
    <row r="31" spans="1:6" x14ac:dyDescent="0.2">
      <c r="A31" t="s">
        <v>86</v>
      </c>
      <c r="C31" s="85">
        <f>C14*C20</f>
        <v>7472.2124999999996</v>
      </c>
      <c r="D31" s="85">
        <f>D14*D20</f>
        <v>9713.8762499999993</v>
      </c>
    </row>
    <row r="32" spans="1:6" ht="15" x14ac:dyDescent="0.35">
      <c r="A32" t="s">
        <v>85</v>
      </c>
      <c r="C32" s="84">
        <f>C15</f>
        <v>280</v>
      </c>
      <c r="D32" s="84">
        <f>D15</f>
        <v>270</v>
      </c>
    </row>
    <row r="33" spans="1:4" x14ac:dyDescent="0.2">
      <c r="A33" t="s">
        <v>84</v>
      </c>
      <c r="C33" s="82">
        <f>C31+C32</f>
        <v>7752.2124999999996</v>
      </c>
      <c r="D33" s="82">
        <f>D31+D32</f>
        <v>9983.8762499999993</v>
      </c>
    </row>
    <row r="34" spans="1:4" ht="18.75" customHeight="1" x14ac:dyDescent="0.2">
      <c r="A34" t="s">
        <v>83</v>
      </c>
      <c r="C34" s="82">
        <f>C16*C20</f>
        <v>3736.1062499999998</v>
      </c>
      <c r="D34" s="82">
        <f>D16*D20</f>
        <v>4823.442</v>
      </c>
    </row>
    <row r="35" spans="1:4" x14ac:dyDescent="0.2">
      <c r="A35" t="s">
        <v>82</v>
      </c>
      <c r="C35" s="82">
        <f>C9</f>
        <v>660</v>
      </c>
      <c r="D35" s="82">
        <f>D9</f>
        <v>560</v>
      </c>
    </row>
    <row r="36" spans="1:4" ht="15" x14ac:dyDescent="0.35">
      <c r="A36" t="s">
        <v>81</v>
      </c>
      <c r="C36" s="84">
        <f ca="1">B17+C29</f>
        <v>1808.2482808483294</v>
      </c>
      <c r="D36" s="83">
        <f ca="1">C36+D29</f>
        <v>1994.7859848054802</v>
      </c>
    </row>
    <row r="37" spans="1:4" x14ac:dyDescent="0.2">
      <c r="A37" t="s">
        <v>80</v>
      </c>
      <c r="C37" s="82">
        <f ca="1">C34+C35+C36</f>
        <v>6204.354530848329</v>
      </c>
      <c r="D37" s="82">
        <f ca="1">D34+D35+D36</f>
        <v>7378.2279848054804</v>
      </c>
    </row>
    <row r="38" spans="1:4" x14ac:dyDescent="0.2">
      <c r="C38" s="82"/>
    </row>
    <row r="39" spans="1:4" x14ac:dyDescent="0.2">
      <c r="A39" s="13" t="s">
        <v>79</v>
      </c>
      <c r="C39" s="81">
        <f ca="1">C33-C37</f>
        <v>1547.8579691516707</v>
      </c>
      <c r="D39" s="81">
        <f ca="1">D33-D37</f>
        <v>2605.6482651945189</v>
      </c>
    </row>
  </sheetData>
  <phoneticPr fontId="39"/>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26" sqref="G26"/>
    </sheetView>
  </sheetViews>
  <sheetFormatPr defaultRowHeight="12.75" x14ac:dyDescent="0.2"/>
  <cols>
    <col min="1" max="1" width="26.42578125" customWidth="1"/>
    <col min="3" max="3" width="3.28515625" customWidth="1"/>
  </cols>
  <sheetData>
    <row r="1" spans="1:8" s="5" customFormat="1" ht="18.75" x14ac:dyDescent="0.3">
      <c r="A1" s="7" t="s">
        <v>376</v>
      </c>
    </row>
    <row r="2" spans="1:8" ht="22.5" customHeight="1" x14ac:dyDescent="0.25">
      <c r="A2" s="114" t="s">
        <v>152</v>
      </c>
    </row>
    <row r="3" spans="1:8" ht="19.5" customHeight="1" x14ac:dyDescent="0.25">
      <c r="A3" s="108" t="s">
        <v>151</v>
      </c>
      <c r="B3" s="3"/>
      <c r="C3" s="3"/>
      <c r="D3" s="3"/>
      <c r="E3" s="3"/>
      <c r="F3" s="3"/>
      <c r="G3" s="3"/>
      <c r="H3" s="3"/>
    </row>
    <row r="4" spans="1:8" ht="27" customHeight="1" x14ac:dyDescent="0.25">
      <c r="A4" s="108"/>
      <c r="B4" s="3"/>
      <c r="C4" s="3"/>
      <c r="D4" s="106">
        <v>2012</v>
      </c>
      <c r="E4" s="106">
        <v>2013</v>
      </c>
      <c r="F4" s="106">
        <v>2014</v>
      </c>
      <c r="G4" s="106">
        <v>2015</v>
      </c>
      <c r="H4" s="106">
        <v>2016</v>
      </c>
    </row>
    <row r="5" spans="1:8" ht="20.25" customHeight="1" x14ac:dyDescent="0.2">
      <c r="A5" s="3" t="s">
        <v>150</v>
      </c>
      <c r="B5" s="113"/>
      <c r="C5" s="113"/>
      <c r="D5" s="113" t="e">
        <f>#REF!/#REF!</f>
        <v>#REF!</v>
      </c>
      <c r="E5" s="113" t="e">
        <f>#REF!/#REF!</f>
        <v>#REF!</v>
      </c>
      <c r="F5" s="113" t="e">
        <f>#REF!/#REF!</f>
        <v>#REF!</v>
      </c>
      <c r="G5" s="113" t="e">
        <f>#REF!/#REF!</f>
        <v>#REF!</v>
      </c>
      <c r="H5" s="113" t="e">
        <f>#REF!/#REF!</f>
        <v>#REF!</v>
      </c>
    </row>
    <row r="6" spans="1:8" x14ac:dyDescent="0.2">
      <c r="A6" s="3" t="s">
        <v>149</v>
      </c>
      <c r="B6" s="110"/>
      <c r="C6" s="110"/>
      <c r="D6" s="110">
        <v>1</v>
      </c>
      <c r="E6" s="110">
        <v>1</v>
      </c>
      <c r="F6" s="110">
        <v>1</v>
      </c>
      <c r="G6" s="110">
        <v>1</v>
      </c>
      <c r="H6" s="110">
        <v>1</v>
      </c>
    </row>
    <row r="7" spans="1:8" x14ac:dyDescent="0.2">
      <c r="A7" s="3" t="s">
        <v>11</v>
      </c>
      <c r="B7" s="110"/>
      <c r="C7" s="110"/>
      <c r="D7" s="110" t="e">
        <f>#REF!/#REF!</f>
        <v>#REF!</v>
      </c>
      <c r="E7" s="110" t="e">
        <f>#REF!/#REF!</f>
        <v>#REF!</v>
      </c>
      <c r="F7" s="110" t="e">
        <f>#REF!/#REF!</f>
        <v>#REF!</v>
      </c>
      <c r="G7" s="110" t="e">
        <f>#REF!/#REF!</f>
        <v>#REF!</v>
      </c>
      <c r="H7" s="110" t="e">
        <f>#REF!/#REF!</f>
        <v>#REF!</v>
      </c>
    </row>
    <row r="8" spans="1:8" x14ac:dyDescent="0.2">
      <c r="A8" s="3" t="s">
        <v>148</v>
      </c>
      <c r="B8" s="111"/>
      <c r="C8" s="110"/>
      <c r="D8" s="112" t="e">
        <f>#REF!/#REF!</f>
        <v>#REF!</v>
      </c>
      <c r="E8" s="112" t="e">
        <f>#REF!/#REF!</f>
        <v>#REF!</v>
      </c>
      <c r="F8" s="112" t="e">
        <f>#REF!/#REF!</f>
        <v>#REF!</v>
      </c>
      <c r="G8" s="112" t="e">
        <f>#REF!/#REF!</f>
        <v>#REF!</v>
      </c>
      <c r="H8" s="112" t="e">
        <f>#REF!/#REF!</f>
        <v>#REF!</v>
      </c>
    </row>
    <row r="9" spans="1:8" ht="19.5" customHeight="1" x14ac:dyDescent="0.2">
      <c r="A9" s="3" t="s">
        <v>147</v>
      </c>
      <c r="B9" s="111"/>
      <c r="C9" s="110"/>
      <c r="D9" s="22" t="e">
        <f>D5*D6*D7*D8</f>
        <v>#REF!</v>
      </c>
      <c r="E9" s="22" t="e">
        <f>E5*E6*E7*E8</f>
        <v>#REF!</v>
      </c>
      <c r="F9" s="22" t="e">
        <f>F5*F6*F7*F8</f>
        <v>#REF!</v>
      </c>
      <c r="G9" s="22" t="e">
        <f>G5*G6*G7*G8</f>
        <v>#REF!</v>
      </c>
      <c r="H9" s="22" t="e">
        <f>H5*H6*H7*H8</f>
        <v>#REF!</v>
      </c>
    </row>
    <row r="10" spans="1:8" ht="18.75" customHeight="1" x14ac:dyDescent="0.2">
      <c r="A10" s="3" t="s">
        <v>146</v>
      </c>
      <c r="B10" s="111"/>
      <c r="C10" s="110"/>
      <c r="D10" s="109" t="e">
        <f>#REF!/#REF!-1</f>
        <v>#REF!</v>
      </c>
      <c r="E10" s="109" t="e">
        <f>#REF!/#REF!-1</f>
        <v>#REF!</v>
      </c>
      <c r="F10" s="109" t="e">
        <f>#REF!/#REF!-1</f>
        <v>#REF!</v>
      </c>
      <c r="G10" s="109" t="e">
        <f>#REF!/#REF!-1</f>
        <v>#REF!</v>
      </c>
      <c r="H10" s="109" t="e">
        <f>#REF!/#REF!-1</f>
        <v>#REF!</v>
      </c>
    </row>
    <row r="11" spans="1:8" ht="17.25" customHeight="1" x14ac:dyDescent="0.2">
      <c r="A11" s="3" t="s">
        <v>145</v>
      </c>
      <c r="B11" s="3"/>
      <c r="C11" s="3"/>
      <c r="D11" s="22" t="e">
        <f>D9-D10</f>
        <v>#REF!</v>
      </c>
      <c r="E11" s="22" t="e">
        <f>E9-E10</f>
        <v>#REF!</v>
      </c>
      <c r="F11" s="22" t="e">
        <f>F9-F10</f>
        <v>#REF!</v>
      </c>
      <c r="G11" s="22" t="e">
        <f>G9-G10</f>
        <v>#REF!</v>
      </c>
      <c r="H11" s="22" t="e">
        <f>H9-H10</f>
        <v>#REF!</v>
      </c>
    </row>
    <row r="12" spans="1:8" ht="30" customHeight="1" x14ac:dyDescent="0.25">
      <c r="A12" s="107" t="s">
        <v>144</v>
      </c>
      <c r="B12" s="104"/>
      <c r="C12" s="22"/>
      <c r="D12" s="104"/>
      <c r="E12" s="104"/>
      <c r="F12" s="104"/>
      <c r="G12" s="104"/>
      <c r="H12" s="105"/>
    </row>
    <row r="13" spans="1:8" x14ac:dyDescent="0.2">
      <c r="A13" s="104" t="s">
        <v>143</v>
      </c>
      <c r="B13" s="104"/>
      <c r="C13" s="22"/>
      <c r="D13" s="104"/>
      <c r="E13" s="104"/>
      <c r="F13" s="104"/>
      <c r="G13" s="104"/>
      <c r="H13" s="105"/>
    </row>
    <row r="14" spans="1:8" x14ac:dyDescent="0.2">
      <c r="A14" s="104" t="s">
        <v>142</v>
      </c>
      <c r="B14" s="104"/>
      <c r="C14" s="22"/>
      <c r="D14" s="104"/>
      <c r="E14" s="104"/>
      <c r="F14" s="104"/>
      <c r="G14" s="104"/>
      <c r="H14" s="105"/>
    </row>
    <row r="15" spans="1:8" x14ac:dyDescent="0.2">
      <c r="A15" s="104" t="s">
        <v>141</v>
      </c>
      <c r="B15" s="104"/>
      <c r="C15" s="22"/>
      <c r="D15" s="104"/>
      <c r="E15" s="104"/>
      <c r="F15" s="104"/>
      <c r="G15" s="104"/>
      <c r="H15" s="105"/>
    </row>
    <row r="16" spans="1:8" x14ac:dyDescent="0.2">
      <c r="A16" s="104" t="s">
        <v>140</v>
      </c>
    </row>
  </sheetData>
  <phoneticPr fontId="39"/>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showGridLines="0" workbookViewId="0">
      <selection activeCell="A51" sqref="A51"/>
    </sheetView>
  </sheetViews>
  <sheetFormatPr defaultColWidth="8.7109375" defaultRowHeight="13.5" x14ac:dyDescent="0.15"/>
  <cols>
    <col min="1" max="1" width="35.42578125" style="23" customWidth="1"/>
    <col min="2" max="2" width="13.28515625" style="23" customWidth="1"/>
    <col min="3" max="3" width="13.42578125" style="23" customWidth="1"/>
    <col min="4" max="4" width="12.28515625" style="23" customWidth="1"/>
    <col min="5" max="5" width="11.7109375" style="23" customWidth="1"/>
    <col min="6" max="6" width="12.7109375" style="23" customWidth="1"/>
    <col min="7" max="16384" width="8.7109375" style="23"/>
  </cols>
  <sheetData>
    <row r="1" spans="1:7" s="5" customFormat="1" ht="18.75" x14ac:dyDescent="0.3">
      <c r="A1" s="7" t="s">
        <v>377</v>
      </c>
    </row>
    <row r="2" spans="1:7" ht="30" customHeight="1" x14ac:dyDescent="0.25">
      <c r="A2" s="129" t="s">
        <v>178</v>
      </c>
      <c r="B2" s="115"/>
      <c r="C2" s="115"/>
      <c r="D2" s="115"/>
      <c r="E2" s="115"/>
      <c r="F2" s="115"/>
    </row>
    <row r="3" spans="1:7" ht="39.75" customHeight="1" x14ac:dyDescent="0.25">
      <c r="A3" s="292" t="s">
        <v>167</v>
      </c>
      <c r="B3" s="292"/>
      <c r="C3" s="292"/>
      <c r="D3" s="292"/>
      <c r="E3" s="292"/>
      <c r="F3" s="292"/>
    </row>
    <row r="4" spans="1:7" ht="51.75" customHeight="1" x14ac:dyDescent="0.25">
      <c r="A4" s="292" t="s">
        <v>166</v>
      </c>
      <c r="B4" s="292"/>
      <c r="C4" s="292"/>
      <c r="D4" s="292"/>
      <c r="E4" s="292"/>
      <c r="F4" s="292"/>
    </row>
    <row r="5" spans="1:7" ht="20.25" customHeight="1" x14ac:dyDescent="0.25">
      <c r="A5" s="293" t="s">
        <v>165</v>
      </c>
      <c r="B5" s="293"/>
      <c r="C5" s="293"/>
      <c r="D5" s="293"/>
      <c r="E5" s="293"/>
      <c r="F5" s="293"/>
    </row>
    <row r="6" spans="1:7" ht="19.5" customHeight="1" x14ac:dyDescent="0.25">
      <c r="A6" s="291" t="s">
        <v>164</v>
      </c>
      <c r="B6" s="291"/>
      <c r="C6" s="291"/>
      <c r="D6" s="291"/>
      <c r="E6" s="291"/>
      <c r="F6" s="291"/>
    </row>
    <row r="7" spans="1:7" ht="67.5" customHeight="1" x14ac:dyDescent="0.25">
      <c r="A7" s="291" t="s">
        <v>177</v>
      </c>
      <c r="B7" s="291"/>
      <c r="C7" s="291"/>
      <c r="D7" s="291"/>
      <c r="E7" s="291"/>
      <c r="F7" s="291"/>
    </row>
    <row r="8" spans="1:7" ht="55.5" customHeight="1" x14ac:dyDescent="0.25">
      <c r="A8" s="291" t="s">
        <v>163</v>
      </c>
      <c r="B8" s="291"/>
      <c r="C8" s="291"/>
      <c r="D8" s="291"/>
      <c r="E8" s="291"/>
      <c r="F8" s="291"/>
    </row>
    <row r="9" spans="1:7" ht="44.25" customHeight="1" x14ac:dyDescent="0.25">
      <c r="A9" s="289" t="s">
        <v>162</v>
      </c>
      <c r="B9" s="289"/>
      <c r="C9" s="289"/>
      <c r="D9" s="289"/>
      <c r="E9" s="289"/>
      <c r="F9" s="289"/>
    </row>
    <row r="10" spans="1:7" ht="24.75" customHeight="1" x14ac:dyDescent="0.25">
      <c r="A10" s="128" t="s">
        <v>152</v>
      </c>
      <c r="B10" s="123"/>
      <c r="C10" s="123"/>
      <c r="D10" s="123"/>
      <c r="E10" s="123"/>
      <c r="F10" s="123"/>
    </row>
    <row r="11" spans="1:7" ht="21.75" customHeight="1" x14ac:dyDescent="0.25">
      <c r="A11" s="127"/>
      <c r="B11" s="122" t="s">
        <v>75</v>
      </c>
      <c r="C11" s="122" t="s">
        <v>74</v>
      </c>
      <c r="D11" s="122" t="s">
        <v>73</v>
      </c>
      <c r="E11" s="122" t="s">
        <v>72</v>
      </c>
      <c r="F11" s="122" t="s">
        <v>71</v>
      </c>
    </row>
    <row r="12" spans="1:7" ht="24" customHeight="1" x14ac:dyDescent="0.25">
      <c r="A12" s="115" t="s">
        <v>176</v>
      </c>
      <c r="B12" s="126">
        <f>B61/B68</f>
        <v>1.3662923210807674</v>
      </c>
      <c r="C12" s="126">
        <f>C61/C68</f>
        <v>1.4159802306425042</v>
      </c>
      <c r="D12" s="126">
        <f>D61/D68</f>
        <v>1.4318002081165453</v>
      </c>
      <c r="E12" s="126">
        <f>E61/E68</f>
        <v>1.475142555438226</v>
      </c>
      <c r="F12" s="126">
        <f>F61/F68</f>
        <v>0.78119235095613049</v>
      </c>
    </row>
    <row r="13" spans="1:7" ht="15" x14ac:dyDescent="0.25">
      <c r="A13" s="115" t="s">
        <v>175</v>
      </c>
      <c r="B13" s="118">
        <f>(B31+B29)/B29</f>
        <v>2.0075490689481632</v>
      </c>
      <c r="C13" s="118">
        <f>(C31+C29)/C29</f>
        <v>1.5789213260761998</v>
      </c>
      <c r="D13" s="118">
        <f>(D31+D29)/D29</f>
        <v>1.6311512415349887</v>
      </c>
      <c r="E13" s="118">
        <f>(E31+E29)/E29</f>
        <v>2.9497382198952882</v>
      </c>
      <c r="F13" s="118">
        <f>(F31+F29)/F29</f>
        <v>4.552671755725191</v>
      </c>
      <c r="G13" s="23" t="s">
        <v>174</v>
      </c>
    </row>
    <row r="14" spans="1:7" ht="21.75" customHeight="1" x14ac:dyDescent="0.25">
      <c r="A14" s="115" t="s">
        <v>173</v>
      </c>
      <c r="B14" s="117">
        <f>((B31+B29)-B29)/(B31+B29)</f>
        <v>0.50188017046878919</v>
      </c>
      <c r="C14" s="117">
        <f>((C31+C29)-C29)/(C31+C29)</f>
        <v>0.36665622062049513</v>
      </c>
      <c r="D14" s="117">
        <f>((D31+D29)-D29)/(D31+D29)</f>
        <v>0.38693606421256571</v>
      </c>
      <c r="E14" s="117">
        <f>((E31+E29)-E29)/(E31+E29)</f>
        <v>0.66098686545970886</v>
      </c>
      <c r="F14" s="117">
        <f>((F31+F29)-F29)/(F31+F29)</f>
        <v>0.78034875922199864</v>
      </c>
    </row>
    <row r="15" spans="1:7" ht="20.25" customHeight="1" x14ac:dyDescent="0.25">
      <c r="A15" s="115" t="s">
        <v>172</v>
      </c>
      <c r="B15" s="117">
        <f>((B31+B29)-(C31+C29))/(C31+C29)</f>
        <v>0.25007834534628642</v>
      </c>
      <c r="C15" s="117">
        <f>((C31+C29)-(D31+D29))/(D31+D29)</f>
        <v>-0.11680044284528093</v>
      </c>
      <c r="D15" s="117">
        <f>((D31+D29)-(E31+E29))/(E31+E29)</f>
        <v>0.2825701100461484</v>
      </c>
      <c r="E15" s="117">
        <f>((E31+E29)-(F31+F29))/(F31+F29)</f>
        <v>-5.5331991951710263E-2</v>
      </c>
      <c r="F15" s="116"/>
    </row>
    <row r="16" spans="1:7" ht="18" customHeight="1" x14ac:dyDescent="0.25">
      <c r="A16" s="115" t="s">
        <v>171</v>
      </c>
      <c r="B16" s="125">
        <f>(B31+B29)*(1-B32/B31)/(B52+B57+B59+B67)</f>
        <v>0.15357911330219196</v>
      </c>
      <c r="C16" s="125">
        <f>(C31+C29)*(1-C32/C31)/(C52+C57+C59+C67)</f>
        <v>0.13755703899966928</v>
      </c>
      <c r="D16" s="125">
        <f>(D31+D29)*(1-D32/D31)/(D52+D57+D59+D67)</f>
        <v>0.15646416802107629</v>
      </c>
      <c r="E16" s="125">
        <f>(E31+E29)*(1-E32/E31)/(E52+E57+E59+E67)</f>
        <v>0.10358929182328598</v>
      </c>
      <c r="F16" s="125">
        <f>(F31+F29)*(1-F32/F31)/(F52+F57+F59+F67)</f>
        <v>0.12699048829502632</v>
      </c>
    </row>
    <row r="17" spans="1:6" ht="94.5" customHeight="1" x14ac:dyDescent="0.25">
      <c r="A17" s="291" t="s">
        <v>170</v>
      </c>
      <c r="B17" s="291"/>
      <c r="C17" s="291"/>
      <c r="D17" s="291"/>
      <c r="E17" s="291"/>
      <c r="F17" s="291"/>
    </row>
    <row r="18" spans="1:6" ht="23.25" customHeight="1" x14ac:dyDescent="0.25">
      <c r="A18" s="123" t="s">
        <v>169</v>
      </c>
      <c r="B18" s="124">
        <f>(B31+B29)/(B29+0.06*1530)</f>
        <v>1.9188955166442176</v>
      </c>
      <c r="C18" s="124">
        <f>(C31+C29)/(C29+0.06*1530)</f>
        <v>1.5103180613404013</v>
      </c>
      <c r="D18" s="124">
        <f>(D31+D29)/(D29+0.06*1530)</f>
        <v>1.5662389457256805</v>
      </c>
      <c r="E18" s="124">
        <f>(E31+E29)/(E29+0.06*1530)</f>
        <v>2.6910584638899504</v>
      </c>
      <c r="F18" s="124">
        <f>(F31+F29)/(F29+0.06*1530)</f>
        <v>3.9930369576861278</v>
      </c>
    </row>
    <row r="19" spans="1:6" ht="160.5" customHeight="1" x14ac:dyDescent="0.25">
      <c r="A19" s="291" t="s">
        <v>168</v>
      </c>
      <c r="B19" s="291"/>
      <c r="C19" s="291"/>
      <c r="D19" s="291"/>
      <c r="E19" s="291"/>
      <c r="F19" s="291"/>
    </row>
    <row r="20" spans="1:6" ht="36" customHeight="1" x14ac:dyDescent="0.25">
      <c r="A20" s="115"/>
      <c r="B20" s="290" t="s">
        <v>161</v>
      </c>
      <c r="C20" s="290"/>
      <c r="D20" s="290"/>
      <c r="E20" s="290"/>
      <c r="F20" s="290"/>
    </row>
    <row r="21" spans="1:6" ht="15" x14ac:dyDescent="0.25">
      <c r="A21" s="115"/>
      <c r="B21" s="290" t="s">
        <v>21</v>
      </c>
      <c r="C21" s="290"/>
      <c r="D21" s="290"/>
      <c r="E21" s="290"/>
      <c r="F21" s="290"/>
    </row>
    <row r="22" spans="1:6" ht="15" x14ac:dyDescent="0.25">
      <c r="A22" s="115"/>
      <c r="B22" s="290" t="s">
        <v>160</v>
      </c>
      <c r="C22" s="290"/>
      <c r="D22" s="290"/>
      <c r="E22" s="290"/>
      <c r="F22" s="290"/>
    </row>
    <row r="23" spans="1:6" ht="15" x14ac:dyDescent="0.25">
      <c r="A23" s="115"/>
      <c r="B23" s="122" t="s">
        <v>75</v>
      </c>
      <c r="C23" s="122" t="s">
        <v>74</v>
      </c>
      <c r="D23" s="122" t="s">
        <v>73</v>
      </c>
      <c r="E23" s="122" t="s">
        <v>72</v>
      </c>
      <c r="F23" s="122" t="s">
        <v>71</v>
      </c>
    </row>
    <row r="24" spans="1:6" ht="15" x14ac:dyDescent="0.25">
      <c r="A24" s="115" t="s">
        <v>8</v>
      </c>
      <c r="B24" s="119">
        <v>30052</v>
      </c>
      <c r="C24" s="119">
        <v>28374</v>
      </c>
      <c r="D24" s="119">
        <v>26858</v>
      </c>
      <c r="E24" s="119">
        <v>25477</v>
      </c>
      <c r="F24" s="119">
        <v>24455</v>
      </c>
    </row>
    <row r="25" spans="1:6" ht="15" x14ac:dyDescent="0.25">
      <c r="A25" s="115" t="s">
        <v>20</v>
      </c>
      <c r="B25" s="121">
        <v>24826</v>
      </c>
      <c r="C25" s="121">
        <v>24023</v>
      </c>
      <c r="D25" s="121">
        <v>22480</v>
      </c>
      <c r="E25" s="121">
        <v>21448</v>
      </c>
      <c r="F25" s="121">
        <v>20391</v>
      </c>
    </row>
    <row r="26" spans="1:6" ht="15" x14ac:dyDescent="0.25">
      <c r="A26" s="115" t="s">
        <v>19</v>
      </c>
      <c r="B26" s="116">
        <v>5226</v>
      </c>
      <c r="C26" s="116">
        <v>4351</v>
      </c>
      <c r="D26" s="116">
        <v>4378</v>
      </c>
      <c r="E26" s="116">
        <v>4029</v>
      </c>
      <c r="F26" s="116">
        <v>4064</v>
      </c>
    </row>
    <row r="27" spans="1:6" ht="15" x14ac:dyDescent="0.25">
      <c r="A27" s="115" t="s">
        <v>159</v>
      </c>
      <c r="B27" s="116">
        <v>1425</v>
      </c>
      <c r="C27" s="116">
        <v>1416</v>
      </c>
      <c r="D27" s="116">
        <v>1426</v>
      </c>
      <c r="E27" s="116">
        <v>1391</v>
      </c>
      <c r="F27" s="116">
        <v>1374</v>
      </c>
    </row>
    <row r="28" spans="1:6" ht="15" x14ac:dyDescent="0.25">
      <c r="A28" s="115" t="s">
        <v>16</v>
      </c>
      <c r="B28" s="116">
        <v>3801</v>
      </c>
      <c r="C28" s="116">
        <v>2935</v>
      </c>
      <c r="D28" s="116">
        <v>2952</v>
      </c>
      <c r="E28" s="116">
        <v>2638</v>
      </c>
      <c r="F28" s="116">
        <v>2690</v>
      </c>
    </row>
    <row r="29" spans="1:6" ht="15" x14ac:dyDescent="0.25">
      <c r="A29" s="115" t="s">
        <v>15</v>
      </c>
      <c r="B29" s="116">
        <v>1987</v>
      </c>
      <c r="C29" s="116">
        <v>2021</v>
      </c>
      <c r="D29" s="116">
        <v>2215</v>
      </c>
      <c r="E29" s="116">
        <v>955</v>
      </c>
      <c r="F29" s="116">
        <v>655</v>
      </c>
    </row>
    <row r="30" spans="1:6" ht="15" x14ac:dyDescent="0.25">
      <c r="A30" s="115" t="s">
        <v>14</v>
      </c>
      <c r="B30" s="121">
        <v>188</v>
      </c>
      <c r="C30" s="121">
        <v>256</v>
      </c>
      <c r="D30" s="121">
        <v>661</v>
      </c>
      <c r="E30" s="121">
        <v>179</v>
      </c>
      <c r="F30" s="121">
        <v>412</v>
      </c>
    </row>
    <row r="31" spans="1:6" ht="15" x14ac:dyDescent="0.25">
      <c r="A31" s="115" t="s">
        <v>13</v>
      </c>
      <c r="B31" s="116">
        <v>2002</v>
      </c>
      <c r="C31" s="116">
        <v>1170</v>
      </c>
      <c r="D31" s="116">
        <v>1398</v>
      </c>
      <c r="E31" s="116">
        <v>1862</v>
      </c>
      <c r="F31" s="116">
        <v>2327</v>
      </c>
    </row>
    <row r="32" spans="1:6" ht="15" x14ac:dyDescent="0.25">
      <c r="A32" s="115" t="s">
        <v>12</v>
      </c>
      <c r="B32" s="116">
        <v>627</v>
      </c>
      <c r="C32" s="116">
        <v>268</v>
      </c>
      <c r="D32" s="116">
        <v>316</v>
      </c>
      <c r="E32" s="116">
        <v>625</v>
      </c>
      <c r="F32" s="116">
        <v>725</v>
      </c>
    </row>
    <row r="33" spans="1:6" ht="15" x14ac:dyDescent="0.25">
      <c r="A33" s="115" t="s">
        <v>78</v>
      </c>
      <c r="B33" s="121">
        <v>321</v>
      </c>
      <c r="C33" s="121">
        <v>229</v>
      </c>
      <c r="D33" s="121">
        <v>208</v>
      </c>
      <c r="E33" s="121">
        <v>201</v>
      </c>
      <c r="F33" s="121">
        <v>178</v>
      </c>
    </row>
    <row r="34" spans="1:6" ht="15" x14ac:dyDescent="0.25">
      <c r="A34" s="115" t="s">
        <v>158</v>
      </c>
      <c r="B34" s="119">
        <v>1054</v>
      </c>
      <c r="C34" s="119">
        <v>673</v>
      </c>
      <c r="D34" s="119">
        <v>874</v>
      </c>
      <c r="E34" s="119">
        <v>1036</v>
      </c>
      <c r="F34" s="119">
        <v>1424</v>
      </c>
    </row>
    <row r="35" spans="1:6" ht="15" x14ac:dyDescent="0.25">
      <c r="A35" s="115"/>
      <c r="B35" s="290" t="s">
        <v>49</v>
      </c>
      <c r="C35" s="290"/>
      <c r="D35" s="290"/>
      <c r="E35" s="290"/>
      <c r="F35" s="290"/>
    </row>
    <row r="36" spans="1:6" ht="15" x14ac:dyDescent="0.25">
      <c r="A36" s="115" t="s">
        <v>48</v>
      </c>
      <c r="B36" s="122" t="s">
        <v>75</v>
      </c>
      <c r="C36" s="122" t="s">
        <v>74</v>
      </c>
      <c r="D36" s="122" t="s">
        <v>73</v>
      </c>
      <c r="E36" s="122" t="s">
        <v>72</v>
      </c>
      <c r="F36" s="122" t="s">
        <v>71</v>
      </c>
    </row>
    <row r="37" spans="1:6" ht="15" x14ac:dyDescent="0.25">
      <c r="A37" s="115" t="s">
        <v>115</v>
      </c>
      <c r="B37" s="119">
        <v>312</v>
      </c>
      <c r="C37" s="119">
        <v>465</v>
      </c>
      <c r="D37" s="119">
        <v>393</v>
      </c>
      <c r="E37" s="119">
        <v>634</v>
      </c>
      <c r="F37" s="119">
        <v>336</v>
      </c>
    </row>
    <row r="38" spans="1:6" ht="15" x14ac:dyDescent="0.25">
      <c r="A38" s="115" t="s">
        <v>47</v>
      </c>
      <c r="B38" s="116">
        <v>3692</v>
      </c>
      <c r="C38" s="116">
        <v>3780</v>
      </c>
      <c r="D38" s="116">
        <v>3895</v>
      </c>
      <c r="E38" s="116">
        <v>3705</v>
      </c>
      <c r="F38" s="116">
        <v>3332</v>
      </c>
    </row>
    <row r="39" spans="1:6" ht="15" x14ac:dyDescent="0.25">
      <c r="A39" s="115" t="s">
        <v>0</v>
      </c>
      <c r="B39" s="116">
        <v>802</v>
      </c>
      <c r="C39" s="116">
        <v>737</v>
      </c>
      <c r="D39" s="116">
        <v>710</v>
      </c>
      <c r="E39" s="116">
        <v>669</v>
      </c>
      <c r="F39" s="116">
        <v>616</v>
      </c>
    </row>
    <row r="40" spans="1:6" ht="15" x14ac:dyDescent="0.25">
      <c r="A40" s="115" t="s">
        <v>45</v>
      </c>
      <c r="B40" s="121">
        <v>1771</v>
      </c>
      <c r="C40" s="121">
        <v>1319</v>
      </c>
      <c r="D40" s="121">
        <v>1207</v>
      </c>
      <c r="E40" s="121">
        <v>1070</v>
      </c>
      <c r="F40" s="121">
        <v>931</v>
      </c>
    </row>
    <row r="41" spans="1:6" ht="15" x14ac:dyDescent="0.25">
      <c r="A41" s="115" t="s">
        <v>44</v>
      </c>
      <c r="B41" s="116">
        <v>6577</v>
      </c>
      <c r="C41" s="116">
        <v>6301</v>
      </c>
      <c r="D41" s="116">
        <v>6205</v>
      </c>
      <c r="E41" s="116">
        <v>6078</v>
      </c>
      <c r="F41" s="116">
        <v>5215</v>
      </c>
    </row>
    <row r="42" spans="1:6" ht="15" x14ac:dyDescent="0.25">
      <c r="A42" s="115" t="s">
        <v>43</v>
      </c>
      <c r="B42" s="116">
        <v>24669</v>
      </c>
      <c r="C42" s="116">
        <v>23714</v>
      </c>
      <c r="D42" s="116">
        <v>22579</v>
      </c>
      <c r="E42" s="116">
        <v>21907</v>
      </c>
      <c r="F42" s="116">
        <v>20818</v>
      </c>
    </row>
    <row r="43" spans="1:6" ht="15" x14ac:dyDescent="0.25">
      <c r="A43" s="115" t="s">
        <v>42</v>
      </c>
      <c r="B43" s="121">
        <v>13242</v>
      </c>
      <c r="C43" s="121">
        <v>12185</v>
      </c>
      <c r="D43" s="121">
        <v>11137</v>
      </c>
      <c r="E43" s="121">
        <v>10238</v>
      </c>
      <c r="F43" s="121">
        <v>9439</v>
      </c>
    </row>
    <row r="44" spans="1:6" ht="15" x14ac:dyDescent="0.25">
      <c r="A44" s="115" t="s">
        <v>41</v>
      </c>
      <c r="B44" s="116">
        <v>11427</v>
      </c>
      <c r="C44" s="116">
        <v>11529</v>
      </c>
      <c r="D44" s="116">
        <v>11442</v>
      </c>
      <c r="E44" s="116">
        <v>11669</v>
      </c>
      <c r="F44" s="116">
        <v>11379</v>
      </c>
    </row>
    <row r="45" spans="1:6" ht="15" x14ac:dyDescent="0.25">
      <c r="A45" s="115" t="s">
        <v>157</v>
      </c>
      <c r="B45" s="116">
        <v>853</v>
      </c>
      <c r="C45" s="116">
        <v>842</v>
      </c>
      <c r="D45" s="116">
        <v>688</v>
      </c>
      <c r="E45" s="116">
        <v>679</v>
      </c>
      <c r="F45" s="116">
        <v>627</v>
      </c>
    </row>
    <row r="46" spans="1:6" ht="15" x14ac:dyDescent="0.25">
      <c r="A46" s="115" t="s">
        <v>156</v>
      </c>
      <c r="B46" s="116">
        <v>1166</v>
      </c>
      <c r="C46" s="116">
        <v>1422</v>
      </c>
      <c r="D46" s="116">
        <v>1669</v>
      </c>
      <c r="E46" s="116">
        <v>1886</v>
      </c>
      <c r="F46" s="116">
        <v>2134</v>
      </c>
    </row>
    <row r="47" spans="1:6" ht="15" x14ac:dyDescent="0.25">
      <c r="A47" s="115" t="s">
        <v>40</v>
      </c>
      <c r="B47" s="116">
        <v>2577</v>
      </c>
      <c r="C47" s="116">
        <v>2580</v>
      </c>
      <c r="D47" s="116">
        <v>2629</v>
      </c>
      <c r="E47" s="116">
        <v>2601</v>
      </c>
      <c r="F47" s="116">
        <v>2626</v>
      </c>
    </row>
    <row r="48" spans="1:6" ht="15" x14ac:dyDescent="0.25">
      <c r="A48" s="115" t="s">
        <v>155</v>
      </c>
      <c r="B48" s="116">
        <v>418</v>
      </c>
      <c r="C48" s="116">
        <v>458</v>
      </c>
      <c r="D48" s="116">
        <v>539</v>
      </c>
      <c r="E48" s="116">
        <v>614</v>
      </c>
      <c r="F48" s="116">
        <v>85</v>
      </c>
    </row>
    <row r="49" spans="1:6" ht="15" x14ac:dyDescent="0.25">
      <c r="A49" s="115" t="s">
        <v>39</v>
      </c>
      <c r="B49" s="121">
        <v>1113</v>
      </c>
      <c r="C49" s="121">
        <v>1148</v>
      </c>
      <c r="D49" s="121">
        <v>853</v>
      </c>
      <c r="E49" s="121">
        <v>148</v>
      </c>
      <c r="F49" s="121">
        <v>159</v>
      </c>
    </row>
    <row r="50" spans="1:6" ht="15" x14ac:dyDescent="0.25">
      <c r="A50" s="115" t="s">
        <v>38</v>
      </c>
      <c r="B50" s="116">
        <v>24131</v>
      </c>
      <c r="C50" s="116">
        <v>24280</v>
      </c>
      <c r="D50" s="116">
        <v>24025</v>
      </c>
      <c r="E50" s="116">
        <v>23675</v>
      </c>
      <c r="F50" s="116">
        <v>22225</v>
      </c>
    </row>
    <row r="51" spans="1:6" ht="15" x14ac:dyDescent="0.25">
      <c r="A51" s="115" t="s">
        <v>37</v>
      </c>
      <c r="B51" s="116"/>
      <c r="C51" s="116"/>
      <c r="D51" s="116"/>
      <c r="E51" s="116"/>
      <c r="F51" s="116"/>
    </row>
    <row r="52" spans="1:6" ht="15" x14ac:dyDescent="0.25">
      <c r="A52" s="115" t="s">
        <v>36</v>
      </c>
      <c r="B52" s="116">
        <v>846</v>
      </c>
      <c r="C52" s="116">
        <v>404</v>
      </c>
      <c r="D52" s="116">
        <v>308</v>
      </c>
      <c r="E52" s="116">
        <v>293</v>
      </c>
      <c r="F52" s="116">
        <v>586</v>
      </c>
    </row>
    <row r="53" spans="1:6" ht="15" x14ac:dyDescent="0.25">
      <c r="A53" s="115" t="s">
        <v>35</v>
      </c>
      <c r="B53" s="116">
        <v>1460</v>
      </c>
      <c r="C53" s="116">
        <v>1370</v>
      </c>
      <c r="D53" s="116">
        <v>1370</v>
      </c>
      <c r="E53" s="116">
        <v>1415</v>
      </c>
      <c r="F53" s="116">
        <v>1484</v>
      </c>
    </row>
    <row r="54" spans="1:6" ht="15" x14ac:dyDescent="0.25">
      <c r="A54" s="115" t="s">
        <v>34</v>
      </c>
      <c r="B54" s="116">
        <v>0</v>
      </c>
      <c r="C54" s="116">
        <v>224</v>
      </c>
      <c r="D54" s="116">
        <v>190</v>
      </c>
      <c r="E54" s="116">
        <v>0</v>
      </c>
      <c r="F54" s="116">
        <v>0</v>
      </c>
    </row>
    <row r="55" spans="1:6" ht="15" x14ac:dyDescent="0.25">
      <c r="A55" s="115" t="s">
        <v>33</v>
      </c>
      <c r="B55" s="121">
        <v>2007</v>
      </c>
      <c r="C55" s="121">
        <v>1912</v>
      </c>
      <c r="D55" s="121">
        <v>1981</v>
      </c>
      <c r="E55" s="121">
        <v>1868</v>
      </c>
      <c r="F55" s="121">
        <v>1825</v>
      </c>
    </row>
    <row r="56" spans="1:6" ht="15" x14ac:dyDescent="0.25">
      <c r="A56" s="115" t="s">
        <v>31</v>
      </c>
      <c r="B56" s="116">
        <v>4313</v>
      </c>
      <c r="C56" s="116">
        <v>3910</v>
      </c>
      <c r="D56" s="116">
        <v>3849</v>
      </c>
      <c r="E56" s="116">
        <v>3576</v>
      </c>
      <c r="F56" s="116">
        <v>3895</v>
      </c>
    </row>
    <row r="57" spans="1:6" ht="15" x14ac:dyDescent="0.25">
      <c r="A57" s="115" t="s">
        <v>30</v>
      </c>
      <c r="B57" s="116">
        <v>24824</v>
      </c>
      <c r="C57" s="116">
        <v>26585</v>
      </c>
      <c r="D57" s="116">
        <v>27000</v>
      </c>
      <c r="E57" s="116">
        <v>28115</v>
      </c>
      <c r="F57" s="116">
        <v>9889</v>
      </c>
    </row>
    <row r="58" spans="1:6" ht="15" x14ac:dyDescent="0.25">
      <c r="A58" s="115" t="s">
        <v>29</v>
      </c>
      <c r="B58" s="116">
        <v>0</v>
      </c>
      <c r="C58" s="116">
        <v>0</v>
      </c>
      <c r="D58" s="116">
        <v>0</v>
      </c>
      <c r="E58" s="116">
        <v>390</v>
      </c>
      <c r="F58" s="116">
        <v>830</v>
      </c>
    </row>
    <row r="59" spans="1:6" ht="15" x14ac:dyDescent="0.25">
      <c r="A59" s="115" t="s">
        <v>78</v>
      </c>
      <c r="B59" s="116">
        <v>1008</v>
      </c>
      <c r="C59" s="116">
        <v>995</v>
      </c>
      <c r="D59" s="116">
        <v>938</v>
      </c>
      <c r="E59" s="116">
        <v>907</v>
      </c>
      <c r="F59" s="116">
        <v>828</v>
      </c>
    </row>
    <row r="60" spans="1:6" ht="15" x14ac:dyDescent="0.25">
      <c r="A60" s="115" t="s">
        <v>28</v>
      </c>
      <c r="B60" s="121">
        <v>2825</v>
      </c>
      <c r="C60" s="121">
        <v>2890</v>
      </c>
      <c r="D60" s="121">
        <v>2612</v>
      </c>
      <c r="E60" s="121">
        <v>1936</v>
      </c>
      <c r="F60" s="121">
        <v>1920</v>
      </c>
    </row>
    <row r="61" spans="1:6" ht="15" x14ac:dyDescent="0.25">
      <c r="A61" s="115" t="s">
        <v>27</v>
      </c>
      <c r="B61" s="116">
        <f>SUM(B56:B60)</f>
        <v>32970</v>
      </c>
      <c r="C61" s="116">
        <f>SUM(C56:C60)</f>
        <v>34380</v>
      </c>
      <c r="D61" s="116">
        <f>SUM(D56:D60)</f>
        <v>34399</v>
      </c>
      <c r="E61" s="116">
        <f>SUM(E56:E60)</f>
        <v>34924</v>
      </c>
      <c r="F61" s="116">
        <f>SUM(F56:F60)</f>
        <v>17362</v>
      </c>
    </row>
    <row r="62" spans="1:6" ht="15" x14ac:dyDescent="0.25">
      <c r="A62" s="115" t="s">
        <v>154</v>
      </c>
      <c r="B62" s="116">
        <v>147</v>
      </c>
      <c r="C62" s="116">
        <v>155</v>
      </c>
      <c r="D62" s="116">
        <v>164</v>
      </c>
      <c r="E62" s="116">
        <v>125</v>
      </c>
      <c r="F62" s="116">
        <v>0</v>
      </c>
    </row>
    <row r="63" spans="1:6" ht="15" x14ac:dyDescent="0.25">
      <c r="A63" s="115" t="s">
        <v>2</v>
      </c>
      <c r="B63" s="116">
        <v>1</v>
      </c>
      <c r="C63" s="116">
        <v>1</v>
      </c>
      <c r="D63" s="116">
        <v>1</v>
      </c>
      <c r="E63" s="116">
        <v>1</v>
      </c>
      <c r="F63" s="116">
        <v>4</v>
      </c>
    </row>
    <row r="64" spans="1:6" ht="15" x14ac:dyDescent="0.25">
      <c r="A64" s="115" t="s">
        <v>25</v>
      </c>
      <c r="B64" s="116">
        <v>226</v>
      </c>
      <c r="C64" s="116">
        <v>165</v>
      </c>
      <c r="D64" s="116">
        <v>112</v>
      </c>
      <c r="E64" s="116">
        <v>0</v>
      </c>
      <c r="F64" s="116">
        <v>0</v>
      </c>
    </row>
    <row r="65" spans="1:6" ht="15" x14ac:dyDescent="0.25">
      <c r="A65" s="115" t="s">
        <v>3</v>
      </c>
      <c r="B65" s="116">
        <v>-9213</v>
      </c>
      <c r="C65" s="116">
        <v>-10421</v>
      </c>
      <c r="D65" s="116">
        <v>-10651</v>
      </c>
      <c r="E65" s="116">
        <v>-11375</v>
      </c>
      <c r="F65" s="116">
        <v>4859</v>
      </c>
    </row>
    <row r="66" spans="1:6" ht="15" x14ac:dyDescent="0.25">
      <c r="A66" s="115" t="s">
        <v>153</v>
      </c>
      <c r="B66" s="121">
        <v>-8986</v>
      </c>
      <c r="C66" s="121">
        <v>-10255</v>
      </c>
      <c r="D66" s="121">
        <v>-10538</v>
      </c>
      <c r="E66" s="121">
        <v>-11374</v>
      </c>
      <c r="F66" s="121">
        <v>4863</v>
      </c>
    </row>
    <row r="67" spans="1:6" ht="15" x14ac:dyDescent="0.25">
      <c r="A67" s="115" t="s">
        <v>23</v>
      </c>
      <c r="B67" s="120">
        <v>-8839</v>
      </c>
      <c r="C67" s="120">
        <v>-10100</v>
      </c>
      <c r="D67" s="120">
        <v>-10374</v>
      </c>
      <c r="E67" s="120">
        <v>-11249</v>
      </c>
      <c r="F67" s="120">
        <v>4863</v>
      </c>
    </row>
    <row r="68" spans="1:6" ht="15" x14ac:dyDescent="0.25">
      <c r="A68" s="115" t="s">
        <v>22</v>
      </c>
      <c r="B68" s="119">
        <v>24131</v>
      </c>
      <c r="C68" s="119">
        <v>24280</v>
      </c>
      <c r="D68" s="119">
        <v>24025</v>
      </c>
      <c r="E68" s="119">
        <v>23675</v>
      </c>
      <c r="F68" s="119">
        <v>22225</v>
      </c>
    </row>
    <row r="69" spans="1:6" ht="15" x14ac:dyDescent="0.25">
      <c r="A69" s="115"/>
      <c r="B69" s="116"/>
      <c r="C69" s="116"/>
      <c r="D69" s="116"/>
      <c r="E69" s="116"/>
      <c r="F69" s="116"/>
    </row>
    <row r="70" spans="1:6" ht="15" x14ac:dyDescent="0.25">
      <c r="A70" s="115"/>
      <c r="B70" s="118"/>
      <c r="C70" s="118"/>
      <c r="D70" s="118"/>
      <c r="E70" s="118"/>
      <c r="F70" s="118"/>
    </row>
    <row r="71" spans="1:6" ht="15" x14ac:dyDescent="0.25">
      <c r="A71" s="115"/>
      <c r="B71" s="118"/>
      <c r="C71" s="118"/>
      <c r="D71" s="118"/>
      <c r="E71" s="118"/>
      <c r="F71" s="118"/>
    </row>
    <row r="72" spans="1:6" ht="15" x14ac:dyDescent="0.25">
      <c r="A72" s="115"/>
      <c r="B72" s="117"/>
      <c r="C72" s="117"/>
      <c r="D72" s="117"/>
      <c r="E72" s="117"/>
      <c r="F72" s="117"/>
    </row>
    <row r="73" spans="1:6" ht="15" x14ac:dyDescent="0.25">
      <c r="A73" s="115"/>
      <c r="B73" s="116"/>
      <c r="C73" s="116"/>
      <c r="D73" s="116"/>
      <c r="E73" s="116"/>
      <c r="F73" s="116"/>
    </row>
    <row r="74" spans="1:6" ht="15" x14ac:dyDescent="0.25">
      <c r="A74" s="115"/>
      <c r="B74" s="117"/>
      <c r="C74" s="117"/>
      <c r="D74" s="117"/>
      <c r="E74" s="117"/>
      <c r="F74" s="116"/>
    </row>
  </sheetData>
  <mergeCells count="13">
    <mergeCell ref="A8:F8"/>
    <mergeCell ref="A3:F3"/>
    <mergeCell ref="A4:F4"/>
    <mergeCell ref="A5:F5"/>
    <mergeCell ref="A6:F6"/>
    <mergeCell ref="A7:F7"/>
    <mergeCell ref="A9:F9"/>
    <mergeCell ref="B20:F20"/>
    <mergeCell ref="B21:F21"/>
    <mergeCell ref="B22:F22"/>
    <mergeCell ref="B35:F35"/>
    <mergeCell ref="A17:F17"/>
    <mergeCell ref="A19:F19"/>
  </mergeCells>
  <phoneticPr fontId="3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zoomScale="115" zoomScaleNormal="115" workbookViewId="0"/>
  </sheetViews>
  <sheetFormatPr defaultColWidth="9.28515625" defaultRowHeight="12.75" x14ac:dyDescent="0.2"/>
  <cols>
    <col min="1" max="1" width="32.28515625" style="39" bestFit="1" customWidth="1"/>
    <col min="2" max="2" width="11.28515625" style="39" bestFit="1" customWidth="1"/>
    <col min="3" max="3" width="15.42578125" style="64" bestFit="1" customWidth="1"/>
    <col min="4" max="5" width="11.7109375" style="39" customWidth="1"/>
    <col min="6" max="7" width="10.7109375" style="39" customWidth="1"/>
    <col min="8" max="9" width="10.5703125" style="56" customWidth="1"/>
    <col min="10" max="10" width="9.28515625" style="56" bestFit="1" customWidth="1"/>
    <col min="11" max="11" width="10.7109375" style="56" customWidth="1"/>
    <col min="12" max="12" width="9.28515625" style="56" bestFit="1" customWidth="1"/>
    <col min="13" max="13" width="10.7109375" style="39" customWidth="1"/>
    <col min="14" max="16384" width="9.28515625" style="39"/>
  </cols>
  <sheetData>
    <row r="1" spans="1:8" s="5" customFormat="1" ht="18.75" x14ac:dyDescent="0.3">
      <c r="A1" s="7" t="s">
        <v>378</v>
      </c>
    </row>
    <row r="2" spans="1:8" ht="18" customHeight="1" x14ac:dyDescent="0.2">
      <c r="A2" s="3" t="s">
        <v>379</v>
      </c>
    </row>
    <row r="3" spans="1:8" ht="20.25" customHeight="1" x14ac:dyDescent="0.2">
      <c r="A3" s="131" t="s">
        <v>380</v>
      </c>
    </row>
    <row r="4" spans="1:8" ht="17.25" customHeight="1" x14ac:dyDescent="0.2">
      <c r="A4" s="131" t="s">
        <v>192</v>
      </c>
    </row>
    <row r="5" spans="1:8" ht="18.75" customHeight="1" x14ac:dyDescent="0.2">
      <c r="A5" s="132" t="s">
        <v>381</v>
      </c>
    </row>
    <row r="6" spans="1:8" ht="15" customHeight="1" x14ac:dyDescent="0.2">
      <c r="A6" s="131" t="s">
        <v>191</v>
      </c>
    </row>
    <row r="7" spans="1:8" ht="15.75" x14ac:dyDescent="0.25">
      <c r="A7" s="4"/>
    </row>
    <row r="8" spans="1:8" ht="15.75" x14ac:dyDescent="0.25">
      <c r="A8" s="4" t="s">
        <v>152</v>
      </c>
    </row>
    <row r="9" spans="1:8" ht="18.75" customHeight="1" x14ac:dyDescent="0.2">
      <c r="A9" s="294" t="s">
        <v>179</v>
      </c>
      <c r="B9" s="294"/>
      <c r="C9" s="294"/>
      <c r="D9" s="294"/>
      <c r="E9" s="294"/>
      <c r="F9" s="294"/>
      <c r="G9" s="294"/>
    </row>
    <row r="10" spans="1:8" ht="13.5" customHeight="1" x14ac:dyDescent="0.2">
      <c r="B10" s="136" t="s">
        <v>190</v>
      </c>
      <c r="C10" s="296" t="s">
        <v>352</v>
      </c>
      <c r="D10" s="296"/>
      <c r="E10" s="296"/>
      <c r="F10" s="296"/>
      <c r="G10" s="296"/>
    </row>
    <row r="11" spans="1:8" ht="13.5" customHeight="1" x14ac:dyDescent="0.25">
      <c r="A11" s="131" t="s">
        <v>189</v>
      </c>
      <c r="B11" s="78">
        <v>2011</v>
      </c>
      <c r="C11" s="78">
        <v>2012</v>
      </c>
      <c r="D11" s="78">
        <v>2013</v>
      </c>
      <c r="E11" s="78">
        <v>2014</v>
      </c>
      <c r="F11" s="78">
        <v>2015</v>
      </c>
      <c r="G11" s="78">
        <v>2016</v>
      </c>
    </row>
    <row r="12" spans="1:8" ht="13.5" thickBot="1" x14ac:dyDescent="0.25">
      <c r="A12" s="3"/>
      <c r="B12" s="295" t="s">
        <v>188</v>
      </c>
      <c r="C12" s="295"/>
      <c r="D12" s="295"/>
      <c r="E12" s="295"/>
      <c r="F12" s="295"/>
      <c r="G12" s="295"/>
    </row>
    <row r="13" spans="1:8" x14ac:dyDescent="0.2">
      <c r="A13" s="3" t="s">
        <v>187</v>
      </c>
      <c r="B13" s="56">
        <f>B39</f>
        <v>59.20599999999996</v>
      </c>
      <c r="C13" s="135">
        <f t="shared" ref="C13:G14" si="0">D39</f>
        <v>48.952008000000021</v>
      </c>
      <c r="D13" s="135">
        <f t="shared" si="0"/>
        <v>54.826248960000008</v>
      </c>
      <c r="E13" s="135">
        <f t="shared" si="0"/>
        <v>61.405398835199975</v>
      </c>
      <c r="F13" s="135">
        <f t="shared" si="0"/>
        <v>68.774046695424062</v>
      </c>
      <c r="G13" s="135">
        <f t="shared" si="0"/>
        <v>77.026932298874954</v>
      </c>
    </row>
    <row r="14" spans="1:8" x14ac:dyDescent="0.2">
      <c r="A14" s="3" t="s">
        <v>186</v>
      </c>
      <c r="B14" s="56">
        <f>B40</f>
        <v>16.43</v>
      </c>
      <c r="C14" s="134">
        <f t="shared" si="0"/>
        <v>18.636266909090917</v>
      </c>
      <c r="D14" s="134">
        <f t="shared" si="0"/>
        <v>18.800966348974239</v>
      </c>
      <c r="E14" s="134">
        <f t="shared" si="0"/>
        <v>18.841411092447316</v>
      </c>
      <c r="F14" s="134">
        <f t="shared" si="0"/>
        <v>18.732678585675938</v>
      </c>
      <c r="G14" s="134">
        <f t="shared" si="0"/>
        <v>18.446159547652176</v>
      </c>
    </row>
    <row r="15" spans="1:8" x14ac:dyDescent="0.2">
      <c r="A15" s="3" t="s">
        <v>185</v>
      </c>
      <c r="B15" s="133">
        <f t="shared" ref="B15:G15" si="1">B13/B14</f>
        <v>3.6035301278149703</v>
      </c>
      <c r="C15" s="133">
        <f t="shared" si="1"/>
        <v>2.6267067454437911</v>
      </c>
      <c r="D15" s="133">
        <f t="shared" si="1"/>
        <v>2.9161399442104354</v>
      </c>
      <c r="E15" s="133">
        <f t="shared" si="1"/>
        <v>3.2590658169872779</v>
      </c>
      <c r="F15" s="133">
        <f t="shared" si="1"/>
        <v>3.6713407738716328</v>
      </c>
      <c r="G15" s="133">
        <f t="shared" si="1"/>
        <v>4.1757706854855288</v>
      </c>
      <c r="H15" s="133"/>
    </row>
    <row r="16" spans="1:8" ht="15.75" customHeight="1" x14ac:dyDescent="0.2">
      <c r="A16" s="3" t="s">
        <v>184</v>
      </c>
      <c r="B16" s="65">
        <f t="shared" ref="B16:G16" si="2">(B15-1)/B15</f>
        <v>0.7224943417896833</v>
      </c>
      <c r="C16" s="65">
        <f t="shared" si="2"/>
        <v>0.61929514905515404</v>
      </c>
      <c r="D16" s="65">
        <f t="shared" si="2"/>
        <v>0.65708092919705308</v>
      </c>
      <c r="E16" s="65">
        <f t="shared" si="2"/>
        <v>0.69316360694905732</v>
      </c>
      <c r="F16" s="65">
        <f t="shared" si="2"/>
        <v>0.72761994552049047</v>
      </c>
      <c r="G16" s="65">
        <f t="shared" si="2"/>
        <v>0.76052324820520478</v>
      </c>
    </row>
    <row r="17" spans="1:12" ht="15.75" customHeight="1" x14ac:dyDescent="0.2">
      <c r="A17" s="3"/>
      <c r="B17" s="3"/>
      <c r="C17" s="3"/>
      <c r="D17" s="3"/>
      <c r="E17" s="3"/>
      <c r="F17" s="3"/>
      <c r="G17" s="3"/>
    </row>
    <row r="18" spans="1:12" ht="15.75" customHeight="1" x14ac:dyDescent="0.2">
      <c r="A18" s="132" t="s">
        <v>183</v>
      </c>
      <c r="B18" s="3"/>
      <c r="C18" s="3"/>
      <c r="D18" s="3"/>
      <c r="E18" s="3"/>
      <c r="F18" s="3"/>
      <c r="G18" s="3"/>
    </row>
    <row r="19" spans="1:12" ht="15.75" customHeight="1" x14ac:dyDescent="0.2">
      <c r="A19" s="131" t="s">
        <v>182</v>
      </c>
      <c r="B19" s="3"/>
      <c r="C19" s="3"/>
      <c r="D19" s="3"/>
      <c r="E19" s="3"/>
      <c r="F19" s="3"/>
      <c r="G19" s="3"/>
    </row>
    <row r="20" spans="1:12" ht="15.75" customHeight="1" x14ac:dyDescent="0.2">
      <c r="A20" s="39" t="s">
        <v>181</v>
      </c>
      <c r="B20" s="3"/>
      <c r="C20" s="3"/>
      <c r="D20" s="3"/>
      <c r="E20" s="3"/>
      <c r="F20" s="3"/>
      <c r="G20" s="3"/>
    </row>
    <row r="21" spans="1:12" ht="15.75" customHeight="1" x14ac:dyDescent="0.2">
      <c r="B21" s="3"/>
      <c r="C21" s="3"/>
      <c r="D21" s="3"/>
      <c r="E21" s="3"/>
      <c r="F21" s="3"/>
      <c r="G21" s="3"/>
    </row>
    <row r="22" spans="1:12" ht="15.75" customHeight="1" x14ac:dyDescent="0.2">
      <c r="A22" s="3"/>
      <c r="B22" s="3"/>
      <c r="C22" s="3"/>
      <c r="D22" s="3"/>
      <c r="E22" s="3"/>
      <c r="F22" s="3"/>
      <c r="G22" s="3"/>
    </row>
    <row r="23" spans="1:12" ht="15.75" customHeight="1" x14ac:dyDescent="0.2">
      <c r="A23" s="3"/>
      <c r="B23" s="3"/>
      <c r="C23" s="3"/>
      <c r="D23" s="3"/>
      <c r="E23" s="3"/>
      <c r="F23" s="3"/>
      <c r="G23" s="3"/>
    </row>
    <row r="24" spans="1:12" ht="15.75" customHeight="1" x14ac:dyDescent="0.25">
      <c r="A24" s="4" t="s">
        <v>180</v>
      </c>
      <c r="B24" s="3"/>
      <c r="C24" s="3"/>
      <c r="D24" s="3"/>
      <c r="E24" s="3"/>
      <c r="F24" s="3"/>
      <c r="G24" s="3"/>
    </row>
    <row r="25" spans="1:12" ht="15.75" x14ac:dyDescent="0.25">
      <c r="A25" s="281" t="s">
        <v>179</v>
      </c>
      <c r="B25" s="282"/>
      <c r="C25" s="282"/>
      <c r="D25" s="282"/>
      <c r="E25" s="75"/>
    </row>
    <row r="26" spans="1:12" x14ac:dyDescent="0.2">
      <c r="A26" s="286" t="s">
        <v>118</v>
      </c>
      <c r="B26" s="287"/>
      <c r="C26" s="287"/>
      <c r="D26" s="287"/>
      <c r="E26" s="75"/>
    </row>
    <row r="27" spans="1:12" ht="18.75" customHeight="1" x14ac:dyDescent="0.2">
      <c r="A27" s="80"/>
      <c r="B27" s="75"/>
      <c r="C27" s="44"/>
      <c r="D27" s="286" t="s">
        <v>352</v>
      </c>
      <c r="E27" s="286"/>
      <c r="F27" s="286"/>
      <c r="G27" s="286"/>
      <c r="H27" s="286"/>
    </row>
    <row r="28" spans="1:12" ht="13.5" x14ac:dyDescent="0.25">
      <c r="B28" s="59">
        <v>2014</v>
      </c>
      <c r="C28" s="79" t="s">
        <v>117</v>
      </c>
      <c r="D28" s="78">
        <v>2015</v>
      </c>
      <c r="E28" s="78">
        <v>2016</v>
      </c>
      <c r="F28" s="78">
        <v>2017</v>
      </c>
      <c r="G28" s="78">
        <v>2018</v>
      </c>
      <c r="H28" s="78">
        <v>2019</v>
      </c>
      <c r="I28" s="77"/>
      <c r="J28" s="76"/>
      <c r="K28" s="76"/>
      <c r="L28" s="76"/>
    </row>
    <row r="29" spans="1:12" x14ac:dyDescent="0.2">
      <c r="C29" s="44"/>
    </row>
    <row r="30" spans="1:12" x14ac:dyDescent="0.2">
      <c r="A30" s="39" t="s">
        <v>8</v>
      </c>
      <c r="B30" s="46">
        <v>582.76199999999994</v>
      </c>
      <c r="C30" s="49">
        <v>0.12</v>
      </c>
      <c r="D30" s="39">
        <v>652.69344000000001</v>
      </c>
      <c r="E30" s="39">
        <v>731.01665280000009</v>
      </c>
      <c r="F30" s="39">
        <v>818.73865113600016</v>
      </c>
      <c r="G30" s="39">
        <v>916.98728927232025</v>
      </c>
      <c r="H30" s="39">
        <v>1027.0257639849988</v>
      </c>
    </row>
    <row r="31" spans="1:12" x14ac:dyDescent="0.2">
      <c r="A31" s="39" t="s">
        <v>20</v>
      </c>
      <c r="B31" s="9">
        <v>240.828</v>
      </c>
      <c r="C31" s="49">
        <v>0.39</v>
      </c>
      <c r="D31" s="39">
        <v>254.5504416</v>
      </c>
      <c r="E31" s="39">
        <v>285.09649459200006</v>
      </c>
      <c r="F31" s="39">
        <v>319.30807394304009</v>
      </c>
      <c r="G31" s="39">
        <v>357.62504281620494</v>
      </c>
      <c r="H31" s="39">
        <v>400.54004795414954</v>
      </c>
    </row>
    <row r="32" spans="1:12" x14ac:dyDescent="0.2">
      <c r="B32" s="9"/>
      <c r="C32" s="1"/>
      <c r="H32" s="39"/>
    </row>
    <row r="33" spans="1:12" x14ac:dyDescent="0.2">
      <c r="A33" s="39" t="s">
        <v>19</v>
      </c>
      <c r="B33" s="43">
        <v>341.93399999999997</v>
      </c>
      <c r="C33" s="1"/>
      <c r="D33" s="42">
        <v>398.14299840000001</v>
      </c>
      <c r="E33" s="42">
        <v>445.92015820800003</v>
      </c>
      <c r="F33" s="42">
        <v>499.43057719296007</v>
      </c>
      <c r="G33" s="42">
        <v>559.36224645611537</v>
      </c>
      <c r="H33" s="42">
        <v>626.48571603084929</v>
      </c>
      <c r="I33" s="38"/>
      <c r="J33" s="38"/>
      <c r="K33" s="38"/>
      <c r="L33" s="38"/>
    </row>
    <row r="34" spans="1:12" x14ac:dyDescent="0.2">
      <c r="A34" s="39" t="s">
        <v>18</v>
      </c>
      <c r="B34" s="31">
        <v>257.50700000000001</v>
      </c>
      <c r="C34" s="49">
        <v>0.49</v>
      </c>
      <c r="D34" s="39">
        <v>319.81978559999999</v>
      </c>
      <c r="E34" s="39">
        <v>358.19815987200002</v>
      </c>
      <c r="F34" s="39">
        <v>401.18193905664009</v>
      </c>
      <c r="G34" s="39">
        <v>449.32377174343691</v>
      </c>
      <c r="H34" s="39">
        <v>503.24262435264939</v>
      </c>
    </row>
    <row r="35" spans="1:12" x14ac:dyDescent="0.2">
      <c r="B35" s="9"/>
      <c r="C35" s="1"/>
      <c r="H35" s="39"/>
    </row>
    <row r="36" spans="1:12" x14ac:dyDescent="0.2">
      <c r="A36" s="39" t="s">
        <v>17</v>
      </c>
      <c r="B36" s="43">
        <v>84.426999999999964</v>
      </c>
      <c r="C36" s="1"/>
      <c r="D36" s="42">
        <v>78.323212800000022</v>
      </c>
      <c r="E36" s="42">
        <v>87.721998336000013</v>
      </c>
      <c r="F36" s="42">
        <v>98.248638136319983</v>
      </c>
      <c r="G36" s="42">
        <v>110.03847471267846</v>
      </c>
      <c r="H36" s="42">
        <v>123.2430916781999</v>
      </c>
      <c r="I36" s="38"/>
      <c r="J36" s="38"/>
      <c r="K36" s="38"/>
      <c r="L36" s="38"/>
    </row>
    <row r="37" spans="1:12" x14ac:dyDescent="0.2">
      <c r="A37" s="39" t="s">
        <v>121</v>
      </c>
      <c r="B37" s="31">
        <v>25.221</v>
      </c>
      <c r="C37" s="49">
        <v>0.3</v>
      </c>
      <c r="D37" s="39">
        <v>29.371204800000001</v>
      </c>
      <c r="E37" s="39">
        <v>32.895749376000005</v>
      </c>
      <c r="F37" s="39">
        <v>36.843239301120008</v>
      </c>
      <c r="G37" s="39">
        <v>41.26442801725441</v>
      </c>
      <c r="H37" s="39">
        <v>46.216159379324942</v>
      </c>
    </row>
    <row r="38" spans="1:12" x14ac:dyDescent="0.2">
      <c r="B38" s="9"/>
      <c r="C38" s="1"/>
      <c r="H38" s="39"/>
    </row>
    <row r="39" spans="1:12" x14ac:dyDescent="0.2">
      <c r="A39" s="39" t="s">
        <v>16</v>
      </c>
      <c r="B39" s="43">
        <v>59.20599999999996</v>
      </c>
      <c r="C39" s="1"/>
      <c r="D39" s="42">
        <v>48.952008000000021</v>
      </c>
      <c r="E39" s="42">
        <v>54.826248960000008</v>
      </c>
      <c r="F39" s="42">
        <v>61.405398835199975</v>
      </c>
      <c r="G39" s="42">
        <v>68.774046695424062</v>
      </c>
      <c r="H39" s="42">
        <v>77.026932298874954</v>
      </c>
      <c r="I39" s="38"/>
      <c r="J39" s="38"/>
      <c r="K39" s="38"/>
      <c r="L39" s="38"/>
    </row>
    <row r="40" spans="1:12" x14ac:dyDescent="0.2">
      <c r="A40" s="39" t="s">
        <v>15</v>
      </c>
      <c r="B40" s="31">
        <v>16.43</v>
      </c>
      <c r="C40" s="1" t="s">
        <v>113</v>
      </c>
      <c r="D40" s="72">
        <v>18.636266909090917</v>
      </c>
      <c r="E40" s="72">
        <v>18.800966348974239</v>
      </c>
      <c r="F40" s="72">
        <v>18.841411092447316</v>
      </c>
      <c r="G40" s="72">
        <v>18.732678585675938</v>
      </c>
      <c r="H40" s="72">
        <v>18.446159547652176</v>
      </c>
      <c r="J40" s="38"/>
      <c r="K40" s="38"/>
      <c r="L40" s="38"/>
    </row>
    <row r="41" spans="1:12" x14ac:dyDescent="0.2">
      <c r="B41" s="9"/>
      <c r="C41" s="1"/>
      <c r="H41" s="39"/>
    </row>
    <row r="42" spans="1:12" x14ac:dyDescent="0.2">
      <c r="A42" s="39" t="s">
        <v>13</v>
      </c>
      <c r="B42" s="43">
        <v>42.775999999999961</v>
      </c>
      <c r="C42" s="33"/>
      <c r="D42" s="42">
        <v>30.315741090909103</v>
      </c>
      <c r="E42" s="42">
        <v>36.025282611025773</v>
      </c>
      <c r="F42" s="42">
        <v>42.563987742752659</v>
      </c>
      <c r="G42" s="42">
        <v>50.04136810974812</v>
      </c>
      <c r="H42" s="42">
        <v>58.580772751222781</v>
      </c>
      <c r="I42" s="38"/>
      <c r="J42" s="38"/>
      <c r="K42" s="38"/>
      <c r="L42" s="38"/>
    </row>
    <row r="43" spans="1:12" x14ac:dyDescent="0.2">
      <c r="A43" s="39" t="s">
        <v>12</v>
      </c>
      <c r="B43" s="55">
        <v>14.971</v>
      </c>
      <c r="C43" s="44">
        <v>0.35</v>
      </c>
      <c r="D43" s="39">
        <v>10.610509381818186</v>
      </c>
      <c r="E43" s="39">
        <v>12.608848913859021</v>
      </c>
      <c r="F43" s="39">
        <v>14.89739570996343</v>
      </c>
      <c r="G43" s="39">
        <v>17.51447883841184</v>
      </c>
      <c r="H43" s="39">
        <v>20.503270462927972</v>
      </c>
    </row>
    <row r="44" spans="1:12" x14ac:dyDescent="0.2">
      <c r="B44" s="9"/>
      <c r="C44" s="1"/>
      <c r="H44" s="39"/>
    </row>
    <row r="45" spans="1:12" ht="15.75" thickBot="1" x14ac:dyDescent="0.4">
      <c r="A45" s="39" t="s">
        <v>4</v>
      </c>
      <c r="B45" s="130">
        <v>27.805</v>
      </c>
      <c r="C45" s="1"/>
      <c r="D45" s="74">
        <v>19.705231709090917</v>
      </c>
      <c r="E45" s="74">
        <v>23.416433697166752</v>
      </c>
      <c r="F45" s="74">
        <v>27.666592032789229</v>
      </c>
      <c r="G45" s="74">
        <v>32.52688927133628</v>
      </c>
      <c r="H45" s="74">
        <v>38.077502288294809</v>
      </c>
      <c r="I45" s="38"/>
      <c r="J45" s="38"/>
      <c r="K45" s="38"/>
      <c r="L45" s="38"/>
    </row>
    <row r="46" spans="1:12" ht="13.5" thickTop="1" x14ac:dyDescent="0.2">
      <c r="B46" s="9"/>
      <c r="C46" s="1"/>
      <c r="H46" s="39"/>
    </row>
    <row r="47" spans="1:12" x14ac:dyDescent="0.2">
      <c r="A47" s="72" t="s">
        <v>116</v>
      </c>
      <c r="B47" s="8"/>
      <c r="C47" s="1"/>
      <c r="H47" s="39"/>
    </row>
    <row r="48" spans="1:12" ht="13.5" x14ac:dyDescent="0.25">
      <c r="B48" s="59"/>
      <c r="C48" s="1"/>
      <c r="H48" s="39"/>
    </row>
    <row r="49" spans="1:12" x14ac:dyDescent="0.2">
      <c r="A49" s="39" t="s">
        <v>48</v>
      </c>
      <c r="B49" s="8"/>
      <c r="C49" s="1"/>
      <c r="H49" s="39"/>
    </row>
    <row r="50" spans="1:12" x14ac:dyDescent="0.2">
      <c r="A50" s="39" t="s">
        <v>115</v>
      </c>
      <c r="B50" s="46">
        <v>7.1519999999999868</v>
      </c>
      <c r="C50" s="44">
        <v>0.02</v>
      </c>
      <c r="D50" s="39">
        <v>13.0538688</v>
      </c>
      <c r="E50" s="39">
        <v>14.620333056000002</v>
      </c>
      <c r="F50" s="39">
        <v>16.374773022720003</v>
      </c>
      <c r="G50" s="39">
        <v>18.339745785446407</v>
      </c>
      <c r="H50" s="39">
        <v>20.540515279699974</v>
      </c>
    </row>
    <row r="51" spans="1:12" x14ac:dyDescent="0.2">
      <c r="A51" s="39" t="s">
        <v>114</v>
      </c>
      <c r="B51" s="9">
        <v>70.537999999999997</v>
      </c>
      <c r="C51" s="44">
        <v>0.13</v>
      </c>
      <c r="D51" s="39">
        <v>84.850147200000009</v>
      </c>
      <c r="E51" s="39">
        <v>95.032164864000009</v>
      </c>
      <c r="F51" s="39">
        <v>106.43602464768003</v>
      </c>
      <c r="G51" s="39">
        <v>119.20834760540164</v>
      </c>
      <c r="H51" s="39">
        <v>133.51334931804985</v>
      </c>
    </row>
    <row r="52" spans="1:12" x14ac:dyDescent="0.2">
      <c r="A52" s="39" t="s">
        <v>0</v>
      </c>
      <c r="B52" s="9">
        <v>39.033000000000001</v>
      </c>
      <c r="C52" s="44">
        <v>0.05</v>
      </c>
      <c r="D52" s="39">
        <v>32.634672000000002</v>
      </c>
      <c r="E52" s="39">
        <v>36.550832640000003</v>
      </c>
      <c r="F52" s="39">
        <v>40.936932556800009</v>
      </c>
      <c r="G52" s="39">
        <v>45.849364463616013</v>
      </c>
      <c r="H52" s="39">
        <v>51.351288199249943</v>
      </c>
    </row>
    <row r="53" spans="1:12" x14ac:dyDescent="0.2">
      <c r="A53" s="39" t="s">
        <v>46</v>
      </c>
      <c r="B53" s="9">
        <v>9.3390000000000004</v>
      </c>
      <c r="C53" s="44" t="s">
        <v>109</v>
      </c>
      <c r="D53" s="39">
        <v>9.3390000000000004</v>
      </c>
      <c r="E53" s="39">
        <v>9.3390000000000004</v>
      </c>
      <c r="F53" s="39">
        <v>9.3390000000000004</v>
      </c>
      <c r="G53" s="39">
        <v>9.3390000000000004</v>
      </c>
      <c r="H53" s="39">
        <v>9.3390000000000004</v>
      </c>
      <c r="J53" s="38"/>
      <c r="K53" s="38"/>
      <c r="L53" s="38"/>
    </row>
    <row r="54" spans="1:12" x14ac:dyDescent="0.2">
      <c r="A54" s="39" t="s">
        <v>45</v>
      </c>
      <c r="B54" s="9">
        <v>27.076000000000001</v>
      </c>
      <c r="C54" s="44">
        <v>0.06</v>
      </c>
      <c r="D54" s="39">
        <v>39.161606399999997</v>
      </c>
      <c r="E54" s="39">
        <v>43.860999168000006</v>
      </c>
      <c r="F54" s="39">
        <v>49.124319068160005</v>
      </c>
      <c r="G54" s="39">
        <v>55.019237356339211</v>
      </c>
      <c r="H54" s="39">
        <v>61.621545839099923</v>
      </c>
    </row>
    <row r="55" spans="1:12" x14ac:dyDescent="0.2">
      <c r="A55" s="75" t="s">
        <v>44</v>
      </c>
      <c r="B55" s="43">
        <v>153.13799999999998</v>
      </c>
      <c r="C55" s="1"/>
      <c r="D55" s="42">
        <v>179.03929440000002</v>
      </c>
      <c r="E55" s="42">
        <v>199.40332972800002</v>
      </c>
      <c r="F55" s="42">
        <v>222.21104929536006</v>
      </c>
      <c r="G55" s="42">
        <v>247.75569521080325</v>
      </c>
      <c r="H55" s="42">
        <v>276.36569863609969</v>
      </c>
      <c r="I55" s="38"/>
      <c r="J55" s="38"/>
      <c r="K55" s="38"/>
      <c r="L55" s="38"/>
    </row>
    <row r="56" spans="1:12" x14ac:dyDescent="0.2">
      <c r="B56" s="9"/>
      <c r="C56" s="1"/>
      <c r="H56" s="39"/>
    </row>
    <row r="57" spans="1:12" x14ac:dyDescent="0.2">
      <c r="A57" s="39" t="s">
        <v>41</v>
      </c>
      <c r="B57" s="43">
        <v>81.647999999999996</v>
      </c>
      <c r="C57" s="44">
        <v>0.15</v>
      </c>
      <c r="D57" s="39">
        <v>97.904015999999999</v>
      </c>
      <c r="E57" s="39">
        <v>109.65249792000002</v>
      </c>
      <c r="F57" s="39">
        <v>122.81079767040002</v>
      </c>
      <c r="G57" s="39">
        <v>137.54809339084804</v>
      </c>
      <c r="H57" s="39">
        <v>154.05386459774982</v>
      </c>
    </row>
    <row r="58" spans="1:12" x14ac:dyDescent="0.2">
      <c r="A58" s="39" t="s">
        <v>40</v>
      </c>
      <c r="B58" s="9">
        <v>9.4149999999999991</v>
      </c>
      <c r="C58" s="1" t="s">
        <v>109</v>
      </c>
      <c r="D58" s="38">
        <v>9.4149999999999991</v>
      </c>
      <c r="E58" s="38">
        <v>9.4149999999999991</v>
      </c>
      <c r="F58" s="38">
        <v>9.4149999999999991</v>
      </c>
      <c r="G58" s="38">
        <v>9.4149999999999991</v>
      </c>
      <c r="H58" s="38">
        <v>9.4149999999999991</v>
      </c>
      <c r="I58" s="38"/>
      <c r="J58" s="38"/>
      <c r="K58" s="38"/>
      <c r="L58" s="38"/>
    </row>
    <row r="59" spans="1:12" x14ac:dyDescent="0.2">
      <c r="A59" s="39" t="s">
        <v>39</v>
      </c>
      <c r="B59" s="9">
        <v>24.641999999999999</v>
      </c>
      <c r="C59" s="49">
        <v>0.05</v>
      </c>
      <c r="D59" s="38">
        <v>32.634672000000002</v>
      </c>
      <c r="E59" s="38">
        <v>36.550832640000003</v>
      </c>
      <c r="F59" s="38">
        <v>40.936932556800009</v>
      </c>
      <c r="G59" s="38">
        <v>45.849364463616013</v>
      </c>
      <c r="H59" s="38">
        <v>51.351288199249943</v>
      </c>
      <c r="I59" s="38"/>
      <c r="J59" s="38"/>
      <c r="K59" s="38"/>
      <c r="L59" s="38"/>
    </row>
    <row r="60" spans="1:12" ht="15" x14ac:dyDescent="0.35">
      <c r="A60" s="75" t="s">
        <v>38</v>
      </c>
      <c r="B60" s="48">
        <v>268.84299999999996</v>
      </c>
      <c r="C60" s="1"/>
      <c r="D60" s="42">
        <v>318.99298240000007</v>
      </c>
      <c r="E60" s="42">
        <v>355.02166028800008</v>
      </c>
      <c r="F60" s="42">
        <v>395.37377952256008</v>
      </c>
      <c r="G60" s="42">
        <v>440.56815306526732</v>
      </c>
      <c r="H60" s="42">
        <v>491.18585143309951</v>
      </c>
      <c r="I60" s="38"/>
      <c r="J60" s="38"/>
      <c r="K60" s="38"/>
      <c r="L60" s="38"/>
    </row>
    <row r="61" spans="1:12" x14ac:dyDescent="0.2">
      <c r="B61" s="9"/>
      <c r="C61" s="1"/>
      <c r="H61" s="39"/>
    </row>
    <row r="62" spans="1:12" x14ac:dyDescent="0.2">
      <c r="A62" s="39" t="s">
        <v>37</v>
      </c>
      <c r="B62" s="9"/>
      <c r="C62" s="1"/>
      <c r="H62" s="39"/>
    </row>
    <row r="63" spans="1:12" x14ac:dyDescent="0.2">
      <c r="A63" s="39" t="s">
        <v>35</v>
      </c>
      <c r="B63" s="46">
        <v>36.951000000000001</v>
      </c>
      <c r="C63" s="44">
        <v>0.06</v>
      </c>
      <c r="D63" s="39">
        <v>39.161606399999997</v>
      </c>
      <c r="E63" s="39">
        <v>43.860999168000006</v>
      </c>
      <c r="F63" s="39">
        <v>49.124319068160005</v>
      </c>
      <c r="G63" s="39">
        <v>55.019237356339211</v>
      </c>
      <c r="H63" s="39">
        <v>61.621545839099923</v>
      </c>
    </row>
    <row r="64" spans="1:12" x14ac:dyDescent="0.2">
      <c r="A64" s="39" t="s">
        <v>33</v>
      </c>
      <c r="B64" s="9">
        <v>31.206</v>
      </c>
      <c r="C64" s="44">
        <v>0.05</v>
      </c>
      <c r="D64" s="39">
        <v>32.634672000000002</v>
      </c>
      <c r="E64" s="39">
        <v>36.550832640000003</v>
      </c>
      <c r="F64" s="39">
        <v>40.936932556800009</v>
      </c>
      <c r="G64" s="39">
        <v>45.849364463616013</v>
      </c>
      <c r="H64" s="39">
        <v>51.351288199249943</v>
      </c>
    </row>
    <row r="65" spans="1:12" x14ac:dyDescent="0.2">
      <c r="A65" s="39" t="s">
        <v>32</v>
      </c>
      <c r="B65" s="9">
        <v>3.6629999999999998</v>
      </c>
      <c r="C65" s="33" t="s">
        <v>109</v>
      </c>
      <c r="D65" s="38">
        <v>3.6629999999999998</v>
      </c>
      <c r="E65" s="38">
        <v>3.6629999999999998</v>
      </c>
      <c r="F65" s="38">
        <v>3.6629999999999998</v>
      </c>
      <c r="G65" s="38">
        <v>3.6629999999999998</v>
      </c>
      <c r="H65" s="38">
        <v>3.6629999999999998</v>
      </c>
      <c r="I65" s="38"/>
      <c r="J65" s="38"/>
      <c r="K65" s="38"/>
      <c r="L65" s="38"/>
    </row>
    <row r="66" spans="1:12" x14ac:dyDescent="0.2">
      <c r="A66" s="75" t="s">
        <v>31</v>
      </c>
      <c r="B66" s="43">
        <v>71.819999999999993</v>
      </c>
      <c r="C66" s="33"/>
      <c r="D66" s="42">
        <v>75.459278400000002</v>
      </c>
      <c r="E66" s="42">
        <v>84.074831808000013</v>
      </c>
      <c r="F66" s="42">
        <v>93.724251624960019</v>
      </c>
      <c r="G66" s="42">
        <v>104.53160181995521</v>
      </c>
      <c r="H66" s="42">
        <v>116.63583403834987</v>
      </c>
      <c r="I66" s="38"/>
      <c r="J66" s="38"/>
      <c r="K66" s="38"/>
      <c r="L66" s="38"/>
    </row>
    <row r="67" spans="1:12" x14ac:dyDescent="0.2">
      <c r="B67" s="9"/>
      <c r="C67" s="1"/>
      <c r="H67" s="39"/>
    </row>
    <row r="68" spans="1:12" x14ac:dyDescent="0.2">
      <c r="A68" s="39" t="s">
        <v>30</v>
      </c>
      <c r="B68" s="9">
        <v>157.72</v>
      </c>
      <c r="C68" s="1" t="s">
        <v>113</v>
      </c>
      <c r="D68" s="72">
        <v>186.36266909090915</v>
      </c>
      <c r="E68" s="72">
        <v>188.00966348974239</v>
      </c>
      <c r="F68" s="72">
        <v>188.41411092447316</v>
      </c>
      <c r="G68" s="72">
        <v>187.32678585675936</v>
      </c>
      <c r="H68" s="72">
        <v>184.46159547652175</v>
      </c>
      <c r="I68" s="71"/>
      <c r="J68" s="38"/>
      <c r="K68" s="38"/>
      <c r="L68" s="38"/>
    </row>
    <row r="69" spans="1:12" x14ac:dyDescent="0.2">
      <c r="A69" s="39" t="s">
        <v>112</v>
      </c>
      <c r="B69" s="9">
        <v>21.417999999999999</v>
      </c>
      <c r="C69" s="44">
        <v>0.03</v>
      </c>
      <c r="D69" s="39">
        <v>19.580803199999998</v>
      </c>
      <c r="E69" s="39">
        <v>21.930499584000003</v>
      </c>
      <c r="F69" s="39">
        <v>24.562159534080003</v>
      </c>
      <c r="G69" s="39">
        <v>27.509618678169605</v>
      </c>
      <c r="H69" s="39">
        <v>30.810772919549962</v>
      </c>
    </row>
    <row r="70" spans="1:12" x14ac:dyDescent="0.2">
      <c r="A70" s="75" t="s">
        <v>111</v>
      </c>
      <c r="B70" s="43">
        <v>250.958</v>
      </c>
      <c r="C70" s="1"/>
      <c r="D70" s="42">
        <v>281.40275069090916</v>
      </c>
      <c r="E70" s="42">
        <v>294.01499488174244</v>
      </c>
      <c r="F70" s="42">
        <v>306.70052208351319</v>
      </c>
      <c r="G70" s="42">
        <v>319.36800635488419</v>
      </c>
      <c r="H70" s="42">
        <v>331.90820243442158</v>
      </c>
      <c r="I70" s="38"/>
      <c r="J70" s="38"/>
      <c r="K70" s="38"/>
      <c r="L70" s="38"/>
    </row>
    <row r="71" spans="1:12" x14ac:dyDescent="0.2">
      <c r="B71" s="9"/>
      <c r="C71" s="1"/>
      <c r="H71" s="39"/>
    </row>
    <row r="72" spans="1:12" x14ac:dyDescent="0.2">
      <c r="A72" s="39" t="s">
        <v>26</v>
      </c>
      <c r="B72" s="9"/>
      <c r="C72" s="1"/>
      <c r="H72" s="39"/>
    </row>
    <row r="73" spans="1:12" x14ac:dyDescent="0.2">
      <c r="A73" s="39" t="s">
        <v>2</v>
      </c>
      <c r="B73" s="9">
        <v>1.702</v>
      </c>
      <c r="C73" s="1" t="s">
        <v>109</v>
      </c>
      <c r="D73" s="38">
        <v>1.702</v>
      </c>
      <c r="E73" s="38">
        <v>1.702</v>
      </c>
      <c r="F73" s="38">
        <v>1.702</v>
      </c>
      <c r="G73" s="38">
        <v>1.702</v>
      </c>
      <c r="H73" s="38">
        <v>1.702</v>
      </c>
      <c r="I73" s="38"/>
      <c r="J73" s="38"/>
      <c r="K73" s="38"/>
      <c r="L73" s="38"/>
    </row>
    <row r="74" spans="1:12" x14ac:dyDescent="0.2">
      <c r="A74" s="39" t="s">
        <v>25</v>
      </c>
      <c r="B74" s="9">
        <v>55.512999999999998</v>
      </c>
      <c r="C74" s="1" t="s">
        <v>109</v>
      </c>
      <c r="D74" s="38">
        <v>55.512999999999998</v>
      </c>
      <c r="E74" s="38">
        <v>55.512999999999998</v>
      </c>
      <c r="F74" s="38">
        <v>55.512999999999998</v>
      </c>
      <c r="G74" s="38">
        <v>55.512999999999998</v>
      </c>
      <c r="H74" s="38">
        <v>55.512999999999998</v>
      </c>
      <c r="I74" s="38"/>
      <c r="J74" s="38"/>
      <c r="K74" s="38"/>
      <c r="L74" s="38"/>
    </row>
    <row r="75" spans="1:12" ht="38.25" x14ac:dyDescent="0.2">
      <c r="A75" s="39" t="s">
        <v>3</v>
      </c>
      <c r="B75" s="9">
        <v>118.729</v>
      </c>
      <c r="C75" s="40" t="s">
        <v>110</v>
      </c>
      <c r="D75" s="39">
        <v>138.43423170909091</v>
      </c>
      <c r="E75" s="39">
        <v>161.85066540625766</v>
      </c>
      <c r="F75" s="39">
        <v>189.51725743904689</v>
      </c>
      <c r="G75" s="39">
        <v>222.04414671038316</v>
      </c>
      <c r="H75" s="39">
        <v>260.12164899867798</v>
      </c>
      <c r="I75" s="71"/>
    </row>
    <row r="76" spans="1:12" x14ac:dyDescent="0.2">
      <c r="A76" s="39" t="s">
        <v>24</v>
      </c>
      <c r="B76" s="9">
        <v>158.059</v>
      </c>
      <c r="C76" s="1" t="s">
        <v>109</v>
      </c>
      <c r="D76" s="38">
        <v>158.059</v>
      </c>
      <c r="E76" s="38">
        <v>158.059</v>
      </c>
      <c r="F76" s="38">
        <v>158.059</v>
      </c>
      <c r="G76" s="38">
        <v>158.059</v>
      </c>
      <c r="H76" s="38">
        <v>158.059</v>
      </c>
      <c r="I76" s="38"/>
      <c r="J76" s="38"/>
      <c r="K76" s="38"/>
      <c r="L76" s="38"/>
    </row>
    <row r="77" spans="1:12" x14ac:dyDescent="0.2">
      <c r="B77" s="9"/>
      <c r="C77" s="1"/>
      <c r="H77" s="39"/>
    </row>
    <row r="78" spans="1:12" x14ac:dyDescent="0.2">
      <c r="A78" s="75" t="s">
        <v>23</v>
      </c>
      <c r="B78" s="31">
        <v>17.885000000000002</v>
      </c>
      <c r="C78" s="33"/>
      <c r="D78" s="42">
        <v>37.590231709090915</v>
      </c>
      <c r="E78" s="42">
        <v>61.006665406257667</v>
      </c>
      <c r="F78" s="42">
        <v>88.673257439046893</v>
      </c>
      <c r="G78" s="42">
        <v>121.20014671038317</v>
      </c>
      <c r="H78" s="42">
        <v>159.27764899867796</v>
      </c>
      <c r="I78" s="38"/>
      <c r="J78" s="38"/>
      <c r="K78" s="38"/>
      <c r="L78" s="38"/>
    </row>
    <row r="79" spans="1:12" x14ac:dyDescent="0.2">
      <c r="B79" s="9"/>
      <c r="C79" s="1"/>
      <c r="H79" s="39"/>
    </row>
    <row r="80" spans="1:12" ht="15" x14ac:dyDescent="0.35">
      <c r="A80" s="39" t="s">
        <v>22</v>
      </c>
      <c r="B80" s="34">
        <v>268.84299999999996</v>
      </c>
      <c r="C80" s="33"/>
      <c r="D80" s="74">
        <v>318.99298240000007</v>
      </c>
      <c r="E80" s="74">
        <v>355.02166028800013</v>
      </c>
      <c r="F80" s="74">
        <v>395.37377952256008</v>
      </c>
      <c r="G80" s="74">
        <v>440.56815306526732</v>
      </c>
      <c r="H80" s="74">
        <v>491.18585143309951</v>
      </c>
      <c r="I80" s="38"/>
      <c r="J80" s="38"/>
      <c r="K80" s="38"/>
      <c r="L80" s="38"/>
    </row>
    <row r="81" spans="2:8" x14ac:dyDescent="0.2">
      <c r="B81" s="73"/>
      <c r="H81" s="39"/>
    </row>
  </sheetData>
  <mergeCells count="6">
    <mergeCell ref="A25:D25"/>
    <mergeCell ref="A26:D26"/>
    <mergeCell ref="D27:H27"/>
    <mergeCell ref="A9:G9"/>
    <mergeCell ref="B12:G12"/>
    <mergeCell ref="C10:G10"/>
  </mergeCells>
  <phoneticPr fontId="39"/>
  <pageMargins left="0.36" right="0.25" top="1" bottom="0.49" header="0.5" footer="0.5"/>
  <pageSetup scale="85" orientation="landscape" r:id="rId1"/>
  <headerFooter alignWithMargins="0"/>
  <rowBreaks count="1" manualBreakCount="1">
    <brk id="4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4"/>
  <sheetViews>
    <sheetView showGridLines="0" topLeftCell="A37" workbookViewId="0">
      <selection activeCell="A2" sqref="A2"/>
    </sheetView>
  </sheetViews>
  <sheetFormatPr defaultRowHeight="14.25" x14ac:dyDescent="0.2"/>
  <cols>
    <col min="1" max="1" width="14.42578125" style="23" customWidth="1"/>
    <col min="2" max="2" width="10.7109375" style="23" customWidth="1"/>
    <col min="3" max="3" width="17.42578125" style="23" customWidth="1"/>
    <col min="4" max="4" width="13.140625" style="23" customWidth="1"/>
    <col min="5" max="5" width="13.85546875" style="23" customWidth="1"/>
    <col min="6" max="6" width="11.85546875" style="23" customWidth="1"/>
    <col min="7" max="7" width="12.28515625" style="23" customWidth="1"/>
    <col min="8" max="11" width="10.5703125" style="23" customWidth="1"/>
    <col min="12" max="256" width="8.7109375" style="137"/>
    <col min="257" max="257" width="14.42578125" style="137" customWidth="1"/>
    <col min="258" max="258" width="10.7109375" style="137" customWidth="1"/>
    <col min="259" max="259" width="15.7109375" style="137" customWidth="1"/>
    <col min="260" max="260" width="9.85546875" style="137" customWidth="1"/>
    <col min="261" max="261" width="12.85546875" style="137" customWidth="1"/>
    <col min="262" max="262" width="10.42578125" style="137" customWidth="1"/>
    <col min="263" max="263" width="12.28515625" style="137" customWidth="1"/>
    <col min="264" max="267" width="10.5703125" style="137" customWidth="1"/>
    <col min="268" max="512" width="8.7109375" style="137"/>
    <col min="513" max="513" width="14.42578125" style="137" customWidth="1"/>
    <col min="514" max="514" width="10.7109375" style="137" customWidth="1"/>
    <col min="515" max="515" width="15.7109375" style="137" customWidth="1"/>
    <col min="516" max="516" width="9.85546875" style="137" customWidth="1"/>
    <col min="517" max="517" width="12.85546875" style="137" customWidth="1"/>
    <col min="518" max="518" width="10.42578125" style="137" customWidth="1"/>
    <col min="519" max="519" width="12.28515625" style="137" customWidth="1"/>
    <col min="520" max="523" width="10.5703125" style="137" customWidth="1"/>
    <col min="524" max="768" width="8.7109375" style="137"/>
    <col min="769" max="769" width="14.42578125" style="137" customWidth="1"/>
    <col min="770" max="770" width="10.7109375" style="137" customWidth="1"/>
    <col min="771" max="771" width="15.7109375" style="137" customWidth="1"/>
    <col min="772" max="772" width="9.85546875" style="137" customWidth="1"/>
    <col min="773" max="773" width="12.85546875" style="137" customWidth="1"/>
    <col min="774" max="774" width="10.42578125" style="137" customWidth="1"/>
    <col min="775" max="775" width="12.28515625" style="137" customWidth="1"/>
    <col min="776" max="779" width="10.5703125" style="137" customWidth="1"/>
    <col min="780" max="1024" width="8.7109375" style="137"/>
    <col min="1025" max="1025" width="14.42578125" style="137" customWidth="1"/>
    <col min="1026" max="1026" width="10.7109375" style="137" customWidth="1"/>
    <col min="1027" max="1027" width="15.7109375" style="137" customWidth="1"/>
    <col min="1028" max="1028" width="9.85546875" style="137" customWidth="1"/>
    <col min="1029" max="1029" width="12.85546875" style="137" customWidth="1"/>
    <col min="1030" max="1030" width="10.42578125" style="137" customWidth="1"/>
    <col min="1031" max="1031" width="12.28515625" style="137" customWidth="1"/>
    <col min="1032" max="1035" width="10.5703125" style="137" customWidth="1"/>
    <col min="1036" max="1280" width="8.7109375" style="137"/>
    <col min="1281" max="1281" width="14.42578125" style="137" customWidth="1"/>
    <col min="1282" max="1282" width="10.7109375" style="137" customWidth="1"/>
    <col min="1283" max="1283" width="15.7109375" style="137" customWidth="1"/>
    <col min="1284" max="1284" width="9.85546875" style="137" customWidth="1"/>
    <col min="1285" max="1285" width="12.85546875" style="137" customWidth="1"/>
    <col min="1286" max="1286" width="10.42578125" style="137" customWidth="1"/>
    <col min="1287" max="1287" width="12.28515625" style="137" customWidth="1"/>
    <col min="1288" max="1291" width="10.5703125" style="137" customWidth="1"/>
    <col min="1292" max="1536" width="8.7109375" style="137"/>
    <col min="1537" max="1537" width="14.42578125" style="137" customWidth="1"/>
    <col min="1538" max="1538" width="10.7109375" style="137" customWidth="1"/>
    <col min="1539" max="1539" width="15.7109375" style="137" customWidth="1"/>
    <col min="1540" max="1540" width="9.85546875" style="137" customWidth="1"/>
    <col min="1541" max="1541" width="12.85546875" style="137" customWidth="1"/>
    <col min="1542" max="1542" width="10.42578125" style="137" customWidth="1"/>
    <col min="1543" max="1543" width="12.28515625" style="137" customWidth="1"/>
    <col min="1544" max="1547" width="10.5703125" style="137" customWidth="1"/>
    <col min="1548" max="1792" width="8.7109375" style="137"/>
    <col min="1793" max="1793" width="14.42578125" style="137" customWidth="1"/>
    <col min="1794" max="1794" width="10.7109375" style="137" customWidth="1"/>
    <col min="1795" max="1795" width="15.7109375" style="137" customWidth="1"/>
    <col min="1796" max="1796" width="9.85546875" style="137" customWidth="1"/>
    <col min="1797" max="1797" width="12.85546875" style="137" customWidth="1"/>
    <col min="1798" max="1798" width="10.42578125" style="137" customWidth="1"/>
    <col min="1799" max="1799" width="12.28515625" style="137" customWidth="1"/>
    <col min="1800" max="1803" width="10.5703125" style="137" customWidth="1"/>
    <col min="1804" max="2048" width="8.7109375" style="137"/>
    <col min="2049" max="2049" width="14.42578125" style="137" customWidth="1"/>
    <col min="2050" max="2050" width="10.7109375" style="137" customWidth="1"/>
    <col min="2051" max="2051" width="15.7109375" style="137" customWidth="1"/>
    <col min="2052" max="2052" width="9.85546875" style="137" customWidth="1"/>
    <col min="2053" max="2053" width="12.85546875" style="137" customWidth="1"/>
    <col min="2054" max="2054" width="10.42578125" style="137" customWidth="1"/>
    <col min="2055" max="2055" width="12.28515625" style="137" customWidth="1"/>
    <col min="2056" max="2059" width="10.5703125" style="137" customWidth="1"/>
    <col min="2060" max="2304" width="8.7109375" style="137"/>
    <col min="2305" max="2305" width="14.42578125" style="137" customWidth="1"/>
    <col min="2306" max="2306" width="10.7109375" style="137" customWidth="1"/>
    <col min="2307" max="2307" width="15.7109375" style="137" customWidth="1"/>
    <col min="2308" max="2308" width="9.85546875" style="137" customWidth="1"/>
    <col min="2309" max="2309" width="12.85546875" style="137" customWidth="1"/>
    <col min="2310" max="2310" width="10.42578125" style="137" customWidth="1"/>
    <col min="2311" max="2311" width="12.28515625" style="137" customWidth="1"/>
    <col min="2312" max="2315" width="10.5703125" style="137" customWidth="1"/>
    <col min="2316" max="2560" width="8.7109375" style="137"/>
    <col min="2561" max="2561" width="14.42578125" style="137" customWidth="1"/>
    <col min="2562" max="2562" width="10.7109375" style="137" customWidth="1"/>
    <col min="2563" max="2563" width="15.7109375" style="137" customWidth="1"/>
    <col min="2564" max="2564" width="9.85546875" style="137" customWidth="1"/>
    <col min="2565" max="2565" width="12.85546875" style="137" customWidth="1"/>
    <col min="2566" max="2566" width="10.42578125" style="137" customWidth="1"/>
    <col min="2567" max="2567" width="12.28515625" style="137" customWidth="1"/>
    <col min="2568" max="2571" width="10.5703125" style="137" customWidth="1"/>
    <col min="2572" max="2816" width="8.7109375" style="137"/>
    <col min="2817" max="2817" width="14.42578125" style="137" customWidth="1"/>
    <col min="2818" max="2818" width="10.7109375" style="137" customWidth="1"/>
    <col min="2819" max="2819" width="15.7109375" style="137" customWidth="1"/>
    <col min="2820" max="2820" width="9.85546875" style="137" customWidth="1"/>
    <col min="2821" max="2821" width="12.85546875" style="137" customWidth="1"/>
    <col min="2822" max="2822" width="10.42578125" style="137" customWidth="1"/>
    <col min="2823" max="2823" width="12.28515625" style="137" customWidth="1"/>
    <col min="2824" max="2827" width="10.5703125" style="137" customWidth="1"/>
    <col min="2828" max="3072" width="8.7109375" style="137"/>
    <col min="3073" max="3073" width="14.42578125" style="137" customWidth="1"/>
    <col min="3074" max="3074" width="10.7109375" style="137" customWidth="1"/>
    <col min="3075" max="3075" width="15.7109375" style="137" customWidth="1"/>
    <col min="3076" max="3076" width="9.85546875" style="137" customWidth="1"/>
    <col min="3077" max="3077" width="12.85546875" style="137" customWidth="1"/>
    <col min="3078" max="3078" width="10.42578125" style="137" customWidth="1"/>
    <col min="3079" max="3079" width="12.28515625" style="137" customWidth="1"/>
    <col min="3080" max="3083" width="10.5703125" style="137" customWidth="1"/>
    <col min="3084" max="3328" width="8.7109375" style="137"/>
    <col min="3329" max="3329" width="14.42578125" style="137" customWidth="1"/>
    <col min="3330" max="3330" width="10.7109375" style="137" customWidth="1"/>
    <col min="3331" max="3331" width="15.7109375" style="137" customWidth="1"/>
    <col min="3332" max="3332" width="9.85546875" style="137" customWidth="1"/>
    <col min="3333" max="3333" width="12.85546875" style="137" customWidth="1"/>
    <col min="3334" max="3334" width="10.42578125" style="137" customWidth="1"/>
    <col min="3335" max="3335" width="12.28515625" style="137" customWidth="1"/>
    <col min="3336" max="3339" width="10.5703125" style="137" customWidth="1"/>
    <col min="3340" max="3584" width="8.7109375" style="137"/>
    <col min="3585" max="3585" width="14.42578125" style="137" customWidth="1"/>
    <col min="3586" max="3586" width="10.7109375" style="137" customWidth="1"/>
    <col min="3587" max="3587" width="15.7109375" style="137" customWidth="1"/>
    <col min="3588" max="3588" width="9.85546875" style="137" customWidth="1"/>
    <col min="3589" max="3589" width="12.85546875" style="137" customWidth="1"/>
    <col min="3590" max="3590" width="10.42578125" style="137" customWidth="1"/>
    <col min="3591" max="3591" width="12.28515625" style="137" customWidth="1"/>
    <col min="3592" max="3595" width="10.5703125" style="137" customWidth="1"/>
    <col min="3596" max="3840" width="8.7109375" style="137"/>
    <col min="3841" max="3841" width="14.42578125" style="137" customWidth="1"/>
    <col min="3842" max="3842" width="10.7109375" style="137" customWidth="1"/>
    <col min="3843" max="3843" width="15.7109375" style="137" customWidth="1"/>
    <col min="3844" max="3844" width="9.85546875" style="137" customWidth="1"/>
    <col min="3845" max="3845" width="12.85546875" style="137" customWidth="1"/>
    <col min="3846" max="3846" width="10.42578125" style="137" customWidth="1"/>
    <col min="3847" max="3847" width="12.28515625" style="137" customWidth="1"/>
    <col min="3848" max="3851" width="10.5703125" style="137" customWidth="1"/>
    <col min="3852" max="4096" width="8.7109375" style="137"/>
    <col min="4097" max="4097" width="14.42578125" style="137" customWidth="1"/>
    <col min="4098" max="4098" width="10.7109375" style="137" customWidth="1"/>
    <col min="4099" max="4099" width="15.7109375" style="137" customWidth="1"/>
    <col min="4100" max="4100" width="9.85546875" style="137" customWidth="1"/>
    <col min="4101" max="4101" width="12.85546875" style="137" customWidth="1"/>
    <col min="4102" max="4102" width="10.42578125" style="137" customWidth="1"/>
    <col min="4103" max="4103" width="12.28515625" style="137" customWidth="1"/>
    <col min="4104" max="4107" width="10.5703125" style="137" customWidth="1"/>
    <col min="4108" max="4352" width="8.7109375" style="137"/>
    <col min="4353" max="4353" width="14.42578125" style="137" customWidth="1"/>
    <col min="4354" max="4354" width="10.7109375" style="137" customWidth="1"/>
    <col min="4355" max="4355" width="15.7109375" style="137" customWidth="1"/>
    <col min="4356" max="4356" width="9.85546875" style="137" customWidth="1"/>
    <col min="4357" max="4357" width="12.85546875" style="137" customWidth="1"/>
    <col min="4358" max="4358" width="10.42578125" style="137" customWidth="1"/>
    <col min="4359" max="4359" width="12.28515625" style="137" customWidth="1"/>
    <col min="4360" max="4363" width="10.5703125" style="137" customWidth="1"/>
    <col min="4364" max="4608" width="8.7109375" style="137"/>
    <col min="4609" max="4609" width="14.42578125" style="137" customWidth="1"/>
    <col min="4610" max="4610" width="10.7109375" style="137" customWidth="1"/>
    <col min="4611" max="4611" width="15.7109375" style="137" customWidth="1"/>
    <col min="4612" max="4612" width="9.85546875" style="137" customWidth="1"/>
    <col min="4613" max="4613" width="12.85546875" style="137" customWidth="1"/>
    <col min="4614" max="4614" width="10.42578125" style="137" customWidth="1"/>
    <col min="4615" max="4615" width="12.28515625" style="137" customWidth="1"/>
    <col min="4616" max="4619" width="10.5703125" style="137" customWidth="1"/>
    <col min="4620" max="4864" width="8.7109375" style="137"/>
    <col min="4865" max="4865" width="14.42578125" style="137" customWidth="1"/>
    <col min="4866" max="4866" width="10.7109375" style="137" customWidth="1"/>
    <col min="4867" max="4867" width="15.7109375" style="137" customWidth="1"/>
    <col min="4868" max="4868" width="9.85546875" style="137" customWidth="1"/>
    <col min="4869" max="4869" width="12.85546875" style="137" customWidth="1"/>
    <col min="4870" max="4870" width="10.42578125" style="137" customWidth="1"/>
    <col min="4871" max="4871" width="12.28515625" style="137" customWidth="1"/>
    <col min="4872" max="4875" width="10.5703125" style="137" customWidth="1"/>
    <col min="4876" max="5120" width="8.7109375" style="137"/>
    <col min="5121" max="5121" width="14.42578125" style="137" customWidth="1"/>
    <col min="5122" max="5122" width="10.7109375" style="137" customWidth="1"/>
    <col min="5123" max="5123" width="15.7109375" style="137" customWidth="1"/>
    <col min="5124" max="5124" width="9.85546875" style="137" customWidth="1"/>
    <col min="5125" max="5125" width="12.85546875" style="137" customWidth="1"/>
    <col min="5126" max="5126" width="10.42578125" style="137" customWidth="1"/>
    <col min="5127" max="5127" width="12.28515625" style="137" customWidth="1"/>
    <col min="5128" max="5131" width="10.5703125" style="137" customWidth="1"/>
    <col min="5132" max="5376" width="8.7109375" style="137"/>
    <col min="5377" max="5377" width="14.42578125" style="137" customWidth="1"/>
    <col min="5378" max="5378" width="10.7109375" style="137" customWidth="1"/>
    <col min="5379" max="5379" width="15.7109375" style="137" customWidth="1"/>
    <col min="5380" max="5380" width="9.85546875" style="137" customWidth="1"/>
    <col min="5381" max="5381" width="12.85546875" style="137" customWidth="1"/>
    <col min="5382" max="5382" width="10.42578125" style="137" customWidth="1"/>
    <col min="5383" max="5383" width="12.28515625" style="137" customWidth="1"/>
    <col min="5384" max="5387" width="10.5703125" style="137" customWidth="1"/>
    <col min="5388" max="5632" width="8.7109375" style="137"/>
    <col min="5633" max="5633" width="14.42578125" style="137" customWidth="1"/>
    <col min="5634" max="5634" width="10.7109375" style="137" customWidth="1"/>
    <col min="5635" max="5635" width="15.7109375" style="137" customWidth="1"/>
    <col min="5636" max="5636" width="9.85546875" style="137" customWidth="1"/>
    <col min="5637" max="5637" width="12.85546875" style="137" customWidth="1"/>
    <col min="5638" max="5638" width="10.42578125" style="137" customWidth="1"/>
    <col min="5639" max="5639" width="12.28515625" style="137" customWidth="1"/>
    <col min="5640" max="5643" width="10.5703125" style="137" customWidth="1"/>
    <col min="5644" max="5888" width="8.7109375" style="137"/>
    <col min="5889" max="5889" width="14.42578125" style="137" customWidth="1"/>
    <col min="5890" max="5890" width="10.7109375" style="137" customWidth="1"/>
    <col min="5891" max="5891" width="15.7109375" style="137" customWidth="1"/>
    <col min="5892" max="5892" width="9.85546875" style="137" customWidth="1"/>
    <col min="5893" max="5893" width="12.85546875" style="137" customWidth="1"/>
    <col min="5894" max="5894" width="10.42578125" style="137" customWidth="1"/>
    <col min="5895" max="5895" width="12.28515625" style="137" customWidth="1"/>
    <col min="5896" max="5899" width="10.5703125" style="137" customWidth="1"/>
    <col min="5900" max="6144" width="8.7109375" style="137"/>
    <col min="6145" max="6145" width="14.42578125" style="137" customWidth="1"/>
    <col min="6146" max="6146" width="10.7109375" style="137" customWidth="1"/>
    <col min="6147" max="6147" width="15.7109375" style="137" customWidth="1"/>
    <col min="6148" max="6148" width="9.85546875" style="137" customWidth="1"/>
    <col min="6149" max="6149" width="12.85546875" style="137" customWidth="1"/>
    <col min="6150" max="6150" width="10.42578125" style="137" customWidth="1"/>
    <col min="6151" max="6151" width="12.28515625" style="137" customWidth="1"/>
    <col min="6152" max="6155" width="10.5703125" style="137" customWidth="1"/>
    <col min="6156" max="6400" width="8.7109375" style="137"/>
    <col min="6401" max="6401" width="14.42578125" style="137" customWidth="1"/>
    <col min="6402" max="6402" width="10.7109375" style="137" customWidth="1"/>
    <col min="6403" max="6403" width="15.7109375" style="137" customWidth="1"/>
    <col min="6404" max="6404" width="9.85546875" style="137" customWidth="1"/>
    <col min="6405" max="6405" width="12.85546875" style="137" customWidth="1"/>
    <col min="6406" max="6406" width="10.42578125" style="137" customWidth="1"/>
    <col min="6407" max="6407" width="12.28515625" style="137" customWidth="1"/>
    <col min="6408" max="6411" width="10.5703125" style="137" customWidth="1"/>
    <col min="6412" max="6656" width="8.7109375" style="137"/>
    <col min="6657" max="6657" width="14.42578125" style="137" customWidth="1"/>
    <col min="6658" max="6658" width="10.7109375" style="137" customWidth="1"/>
    <col min="6659" max="6659" width="15.7109375" style="137" customWidth="1"/>
    <col min="6660" max="6660" width="9.85546875" style="137" customWidth="1"/>
    <col min="6661" max="6661" width="12.85546875" style="137" customWidth="1"/>
    <col min="6662" max="6662" width="10.42578125" style="137" customWidth="1"/>
    <col min="6663" max="6663" width="12.28515625" style="137" customWidth="1"/>
    <col min="6664" max="6667" width="10.5703125" style="137" customWidth="1"/>
    <col min="6668" max="6912" width="8.7109375" style="137"/>
    <col min="6913" max="6913" width="14.42578125" style="137" customWidth="1"/>
    <col min="6914" max="6914" width="10.7109375" style="137" customWidth="1"/>
    <col min="6915" max="6915" width="15.7109375" style="137" customWidth="1"/>
    <col min="6916" max="6916" width="9.85546875" style="137" customWidth="1"/>
    <col min="6917" max="6917" width="12.85546875" style="137" customWidth="1"/>
    <col min="6918" max="6918" width="10.42578125" style="137" customWidth="1"/>
    <col min="6919" max="6919" width="12.28515625" style="137" customWidth="1"/>
    <col min="6920" max="6923" width="10.5703125" style="137" customWidth="1"/>
    <col min="6924" max="7168" width="8.7109375" style="137"/>
    <col min="7169" max="7169" width="14.42578125" style="137" customWidth="1"/>
    <col min="7170" max="7170" width="10.7109375" style="137" customWidth="1"/>
    <col min="7171" max="7171" width="15.7109375" style="137" customWidth="1"/>
    <col min="7172" max="7172" width="9.85546875" style="137" customWidth="1"/>
    <col min="7173" max="7173" width="12.85546875" style="137" customWidth="1"/>
    <col min="7174" max="7174" width="10.42578125" style="137" customWidth="1"/>
    <col min="7175" max="7175" width="12.28515625" style="137" customWidth="1"/>
    <col min="7176" max="7179" width="10.5703125" style="137" customWidth="1"/>
    <col min="7180" max="7424" width="8.7109375" style="137"/>
    <col min="7425" max="7425" width="14.42578125" style="137" customWidth="1"/>
    <col min="7426" max="7426" width="10.7109375" style="137" customWidth="1"/>
    <col min="7427" max="7427" width="15.7109375" style="137" customWidth="1"/>
    <col min="7428" max="7428" width="9.85546875" style="137" customWidth="1"/>
    <col min="7429" max="7429" width="12.85546875" style="137" customWidth="1"/>
    <col min="7430" max="7430" width="10.42578125" style="137" customWidth="1"/>
    <col min="7431" max="7431" width="12.28515625" style="137" customWidth="1"/>
    <col min="7432" max="7435" width="10.5703125" style="137" customWidth="1"/>
    <col min="7436" max="7680" width="8.7109375" style="137"/>
    <col min="7681" max="7681" width="14.42578125" style="137" customWidth="1"/>
    <col min="7682" max="7682" width="10.7109375" style="137" customWidth="1"/>
    <col min="7683" max="7683" width="15.7109375" style="137" customWidth="1"/>
    <col min="7684" max="7684" width="9.85546875" style="137" customWidth="1"/>
    <col min="7685" max="7685" width="12.85546875" style="137" customWidth="1"/>
    <col min="7686" max="7686" width="10.42578125" style="137" customWidth="1"/>
    <col min="7687" max="7687" width="12.28515625" style="137" customWidth="1"/>
    <col min="7688" max="7691" width="10.5703125" style="137" customWidth="1"/>
    <col min="7692" max="7936" width="8.7109375" style="137"/>
    <col min="7937" max="7937" width="14.42578125" style="137" customWidth="1"/>
    <col min="7938" max="7938" width="10.7109375" style="137" customWidth="1"/>
    <col min="7939" max="7939" width="15.7109375" style="137" customWidth="1"/>
    <col min="7940" max="7940" width="9.85546875" style="137" customWidth="1"/>
    <col min="7941" max="7941" width="12.85546875" style="137" customWidth="1"/>
    <col min="7942" max="7942" width="10.42578125" style="137" customWidth="1"/>
    <col min="7943" max="7943" width="12.28515625" style="137" customWidth="1"/>
    <col min="7944" max="7947" width="10.5703125" style="137" customWidth="1"/>
    <col min="7948" max="8192" width="8.7109375" style="137"/>
    <col min="8193" max="8193" width="14.42578125" style="137" customWidth="1"/>
    <col min="8194" max="8194" width="10.7109375" style="137" customWidth="1"/>
    <col min="8195" max="8195" width="15.7109375" style="137" customWidth="1"/>
    <col min="8196" max="8196" width="9.85546875" style="137" customWidth="1"/>
    <col min="8197" max="8197" width="12.85546875" style="137" customWidth="1"/>
    <col min="8198" max="8198" width="10.42578125" style="137" customWidth="1"/>
    <col min="8199" max="8199" width="12.28515625" style="137" customWidth="1"/>
    <col min="8200" max="8203" width="10.5703125" style="137" customWidth="1"/>
    <col min="8204" max="8448" width="8.7109375" style="137"/>
    <col min="8449" max="8449" width="14.42578125" style="137" customWidth="1"/>
    <col min="8450" max="8450" width="10.7109375" style="137" customWidth="1"/>
    <col min="8451" max="8451" width="15.7109375" style="137" customWidth="1"/>
    <col min="8452" max="8452" width="9.85546875" style="137" customWidth="1"/>
    <col min="8453" max="8453" width="12.85546875" style="137" customWidth="1"/>
    <col min="8454" max="8454" width="10.42578125" style="137" customWidth="1"/>
    <col min="8455" max="8455" width="12.28515625" style="137" customWidth="1"/>
    <col min="8456" max="8459" width="10.5703125" style="137" customWidth="1"/>
    <col min="8460" max="8704" width="8.7109375" style="137"/>
    <col min="8705" max="8705" width="14.42578125" style="137" customWidth="1"/>
    <col min="8706" max="8706" width="10.7109375" style="137" customWidth="1"/>
    <col min="8707" max="8707" width="15.7109375" style="137" customWidth="1"/>
    <col min="8708" max="8708" width="9.85546875" style="137" customWidth="1"/>
    <col min="8709" max="8709" width="12.85546875" style="137" customWidth="1"/>
    <col min="8710" max="8710" width="10.42578125" style="137" customWidth="1"/>
    <col min="8711" max="8711" width="12.28515625" style="137" customWidth="1"/>
    <col min="8712" max="8715" width="10.5703125" style="137" customWidth="1"/>
    <col min="8716" max="8960" width="8.7109375" style="137"/>
    <col min="8961" max="8961" width="14.42578125" style="137" customWidth="1"/>
    <col min="8962" max="8962" width="10.7109375" style="137" customWidth="1"/>
    <col min="8963" max="8963" width="15.7109375" style="137" customWidth="1"/>
    <col min="8964" max="8964" width="9.85546875" style="137" customWidth="1"/>
    <col min="8965" max="8965" width="12.85546875" style="137" customWidth="1"/>
    <col min="8966" max="8966" width="10.42578125" style="137" customWidth="1"/>
    <col min="8967" max="8967" width="12.28515625" style="137" customWidth="1"/>
    <col min="8968" max="8971" width="10.5703125" style="137" customWidth="1"/>
    <col min="8972" max="9216" width="8.7109375" style="137"/>
    <col min="9217" max="9217" width="14.42578125" style="137" customWidth="1"/>
    <col min="9218" max="9218" width="10.7109375" style="137" customWidth="1"/>
    <col min="9219" max="9219" width="15.7109375" style="137" customWidth="1"/>
    <col min="9220" max="9220" width="9.85546875" style="137" customWidth="1"/>
    <col min="9221" max="9221" width="12.85546875" style="137" customWidth="1"/>
    <col min="9222" max="9222" width="10.42578125" style="137" customWidth="1"/>
    <col min="9223" max="9223" width="12.28515625" style="137" customWidth="1"/>
    <col min="9224" max="9227" width="10.5703125" style="137" customWidth="1"/>
    <col min="9228" max="9472" width="8.7109375" style="137"/>
    <col min="9473" max="9473" width="14.42578125" style="137" customWidth="1"/>
    <col min="9474" max="9474" width="10.7109375" style="137" customWidth="1"/>
    <col min="9475" max="9475" width="15.7109375" style="137" customWidth="1"/>
    <col min="9476" max="9476" width="9.85546875" style="137" customWidth="1"/>
    <col min="9477" max="9477" width="12.85546875" style="137" customWidth="1"/>
    <col min="9478" max="9478" width="10.42578125" style="137" customWidth="1"/>
    <col min="9479" max="9479" width="12.28515625" style="137" customWidth="1"/>
    <col min="9480" max="9483" width="10.5703125" style="137" customWidth="1"/>
    <col min="9484" max="9728" width="8.7109375" style="137"/>
    <col min="9729" max="9729" width="14.42578125" style="137" customWidth="1"/>
    <col min="9730" max="9730" width="10.7109375" style="137" customWidth="1"/>
    <col min="9731" max="9731" width="15.7109375" style="137" customWidth="1"/>
    <col min="9732" max="9732" width="9.85546875" style="137" customWidth="1"/>
    <col min="9733" max="9733" width="12.85546875" style="137" customWidth="1"/>
    <col min="9734" max="9734" width="10.42578125" style="137" customWidth="1"/>
    <col min="9735" max="9735" width="12.28515625" style="137" customWidth="1"/>
    <col min="9736" max="9739" width="10.5703125" style="137" customWidth="1"/>
    <col min="9740" max="9984" width="8.7109375" style="137"/>
    <col min="9985" max="9985" width="14.42578125" style="137" customWidth="1"/>
    <col min="9986" max="9986" width="10.7109375" style="137" customWidth="1"/>
    <col min="9987" max="9987" width="15.7109375" style="137" customWidth="1"/>
    <col min="9988" max="9988" width="9.85546875" style="137" customWidth="1"/>
    <col min="9989" max="9989" width="12.85546875" style="137" customWidth="1"/>
    <col min="9990" max="9990" width="10.42578125" style="137" customWidth="1"/>
    <col min="9991" max="9991" width="12.28515625" style="137" customWidth="1"/>
    <col min="9992" max="9995" width="10.5703125" style="137" customWidth="1"/>
    <col min="9996" max="10240" width="8.7109375" style="137"/>
    <col min="10241" max="10241" width="14.42578125" style="137" customWidth="1"/>
    <col min="10242" max="10242" width="10.7109375" style="137" customWidth="1"/>
    <col min="10243" max="10243" width="15.7109375" style="137" customWidth="1"/>
    <col min="10244" max="10244" width="9.85546875" style="137" customWidth="1"/>
    <col min="10245" max="10245" width="12.85546875" style="137" customWidth="1"/>
    <col min="10246" max="10246" width="10.42578125" style="137" customWidth="1"/>
    <col min="10247" max="10247" width="12.28515625" style="137" customWidth="1"/>
    <col min="10248" max="10251" width="10.5703125" style="137" customWidth="1"/>
    <col min="10252" max="10496" width="8.7109375" style="137"/>
    <col min="10497" max="10497" width="14.42578125" style="137" customWidth="1"/>
    <col min="10498" max="10498" width="10.7109375" style="137" customWidth="1"/>
    <col min="10499" max="10499" width="15.7109375" style="137" customWidth="1"/>
    <col min="10500" max="10500" width="9.85546875" style="137" customWidth="1"/>
    <col min="10501" max="10501" width="12.85546875" style="137" customWidth="1"/>
    <col min="10502" max="10502" width="10.42578125" style="137" customWidth="1"/>
    <col min="10503" max="10503" width="12.28515625" style="137" customWidth="1"/>
    <col min="10504" max="10507" width="10.5703125" style="137" customWidth="1"/>
    <col min="10508" max="10752" width="8.7109375" style="137"/>
    <col min="10753" max="10753" width="14.42578125" style="137" customWidth="1"/>
    <col min="10754" max="10754" width="10.7109375" style="137" customWidth="1"/>
    <col min="10755" max="10755" width="15.7109375" style="137" customWidth="1"/>
    <col min="10756" max="10756" width="9.85546875" style="137" customWidth="1"/>
    <col min="10757" max="10757" width="12.85546875" style="137" customWidth="1"/>
    <col min="10758" max="10758" width="10.42578125" style="137" customWidth="1"/>
    <col min="10759" max="10759" width="12.28515625" style="137" customWidth="1"/>
    <col min="10760" max="10763" width="10.5703125" style="137" customWidth="1"/>
    <col min="10764" max="11008" width="8.7109375" style="137"/>
    <col min="11009" max="11009" width="14.42578125" style="137" customWidth="1"/>
    <col min="11010" max="11010" width="10.7109375" style="137" customWidth="1"/>
    <col min="11011" max="11011" width="15.7109375" style="137" customWidth="1"/>
    <col min="11012" max="11012" width="9.85546875" style="137" customWidth="1"/>
    <col min="11013" max="11013" width="12.85546875" style="137" customWidth="1"/>
    <col min="11014" max="11014" width="10.42578125" style="137" customWidth="1"/>
    <col min="11015" max="11015" width="12.28515625" style="137" customWidth="1"/>
    <col min="11016" max="11019" width="10.5703125" style="137" customWidth="1"/>
    <col min="11020" max="11264" width="8.7109375" style="137"/>
    <col min="11265" max="11265" width="14.42578125" style="137" customWidth="1"/>
    <col min="11266" max="11266" width="10.7109375" style="137" customWidth="1"/>
    <col min="11267" max="11267" width="15.7109375" style="137" customWidth="1"/>
    <col min="11268" max="11268" width="9.85546875" style="137" customWidth="1"/>
    <col min="11269" max="11269" width="12.85546875" style="137" customWidth="1"/>
    <col min="11270" max="11270" width="10.42578125" style="137" customWidth="1"/>
    <col min="11271" max="11271" width="12.28515625" style="137" customWidth="1"/>
    <col min="11272" max="11275" width="10.5703125" style="137" customWidth="1"/>
    <col min="11276" max="11520" width="8.7109375" style="137"/>
    <col min="11521" max="11521" width="14.42578125" style="137" customWidth="1"/>
    <col min="11522" max="11522" width="10.7109375" style="137" customWidth="1"/>
    <col min="11523" max="11523" width="15.7109375" style="137" customWidth="1"/>
    <col min="11524" max="11524" width="9.85546875" style="137" customWidth="1"/>
    <col min="11525" max="11525" width="12.85546875" style="137" customWidth="1"/>
    <col min="11526" max="11526" width="10.42578125" style="137" customWidth="1"/>
    <col min="11527" max="11527" width="12.28515625" style="137" customWidth="1"/>
    <col min="11528" max="11531" width="10.5703125" style="137" customWidth="1"/>
    <col min="11532" max="11776" width="8.7109375" style="137"/>
    <col min="11777" max="11777" width="14.42578125" style="137" customWidth="1"/>
    <col min="11778" max="11778" width="10.7109375" style="137" customWidth="1"/>
    <col min="11779" max="11779" width="15.7109375" style="137" customWidth="1"/>
    <col min="11780" max="11780" width="9.85546875" style="137" customWidth="1"/>
    <col min="11781" max="11781" width="12.85546875" style="137" customWidth="1"/>
    <col min="11782" max="11782" width="10.42578125" style="137" customWidth="1"/>
    <col min="11783" max="11783" width="12.28515625" style="137" customWidth="1"/>
    <col min="11784" max="11787" width="10.5703125" style="137" customWidth="1"/>
    <col min="11788" max="12032" width="8.7109375" style="137"/>
    <col min="12033" max="12033" width="14.42578125" style="137" customWidth="1"/>
    <col min="12034" max="12034" width="10.7109375" style="137" customWidth="1"/>
    <col min="12035" max="12035" width="15.7109375" style="137" customWidth="1"/>
    <col min="12036" max="12036" width="9.85546875" style="137" customWidth="1"/>
    <col min="12037" max="12037" width="12.85546875" style="137" customWidth="1"/>
    <col min="12038" max="12038" width="10.42578125" style="137" customWidth="1"/>
    <col min="12039" max="12039" width="12.28515625" style="137" customWidth="1"/>
    <col min="12040" max="12043" width="10.5703125" style="137" customWidth="1"/>
    <col min="12044" max="12288" width="8.7109375" style="137"/>
    <col min="12289" max="12289" width="14.42578125" style="137" customWidth="1"/>
    <col min="12290" max="12290" width="10.7109375" style="137" customWidth="1"/>
    <col min="12291" max="12291" width="15.7109375" style="137" customWidth="1"/>
    <col min="12292" max="12292" width="9.85546875" style="137" customWidth="1"/>
    <col min="12293" max="12293" width="12.85546875" style="137" customWidth="1"/>
    <col min="12294" max="12294" width="10.42578125" style="137" customWidth="1"/>
    <col min="12295" max="12295" width="12.28515625" style="137" customWidth="1"/>
    <col min="12296" max="12299" width="10.5703125" style="137" customWidth="1"/>
    <col min="12300" max="12544" width="8.7109375" style="137"/>
    <col min="12545" max="12545" width="14.42578125" style="137" customWidth="1"/>
    <col min="12546" max="12546" width="10.7109375" style="137" customWidth="1"/>
    <col min="12547" max="12547" width="15.7109375" style="137" customWidth="1"/>
    <col min="12548" max="12548" width="9.85546875" style="137" customWidth="1"/>
    <col min="12549" max="12549" width="12.85546875" style="137" customWidth="1"/>
    <col min="12550" max="12550" width="10.42578125" style="137" customWidth="1"/>
    <col min="12551" max="12551" width="12.28515625" style="137" customWidth="1"/>
    <col min="12552" max="12555" width="10.5703125" style="137" customWidth="1"/>
    <col min="12556" max="12800" width="8.7109375" style="137"/>
    <col min="12801" max="12801" width="14.42578125" style="137" customWidth="1"/>
    <col min="12802" max="12802" width="10.7109375" style="137" customWidth="1"/>
    <col min="12803" max="12803" width="15.7109375" style="137" customWidth="1"/>
    <col min="12804" max="12804" width="9.85546875" style="137" customWidth="1"/>
    <col min="12805" max="12805" width="12.85546875" style="137" customWidth="1"/>
    <col min="12806" max="12806" width="10.42578125" style="137" customWidth="1"/>
    <col min="12807" max="12807" width="12.28515625" style="137" customWidth="1"/>
    <col min="12808" max="12811" width="10.5703125" style="137" customWidth="1"/>
    <col min="12812" max="13056" width="8.7109375" style="137"/>
    <col min="13057" max="13057" width="14.42578125" style="137" customWidth="1"/>
    <col min="13058" max="13058" width="10.7109375" style="137" customWidth="1"/>
    <col min="13059" max="13059" width="15.7109375" style="137" customWidth="1"/>
    <col min="13060" max="13060" width="9.85546875" style="137" customWidth="1"/>
    <col min="13061" max="13061" width="12.85546875" style="137" customWidth="1"/>
    <col min="13062" max="13062" width="10.42578125" style="137" customWidth="1"/>
    <col min="13063" max="13063" width="12.28515625" style="137" customWidth="1"/>
    <col min="13064" max="13067" width="10.5703125" style="137" customWidth="1"/>
    <col min="13068" max="13312" width="8.7109375" style="137"/>
    <col min="13313" max="13313" width="14.42578125" style="137" customWidth="1"/>
    <col min="13314" max="13314" width="10.7109375" style="137" customWidth="1"/>
    <col min="13315" max="13315" width="15.7109375" style="137" customWidth="1"/>
    <col min="13316" max="13316" width="9.85546875" style="137" customWidth="1"/>
    <col min="13317" max="13317" width="12.85546875" style="137" customWidth="1"/>
    <col min="13318" max="13318" width="10.42578125" style="137" customWidth="1"/>
    <col min="13319" max="13319" width="12.28515625" style="137" customWidth="1"/>
    <col min="13320" max="13323" width="10.5703125" style="137" customWidth="1"/>
    <col min="13324" max="13568" width="8.7109375" style="137"/>
    <col min="13569" max="13569" width="14.42578125" style="137" customWidth="1"/>
    <col min="13570" max="13570" width="10.7109375" style="137" customWidth="1"/>
    <col min="13571" max="13571" width="15.7109375" style="137" customWidth="1"/>
    <col min="13572" max="13572" width="9.85546875" style="137" customWidth="1"/>
    <col min="13573" max="13573" width="12.85546875" style="137" customWidth="1"/>
    <col min="13574" max="13574" width="10.42578125" style="137" customWidth="1"/>
    <col min="13575" max="13575" width="12.28515625" style="137" customWidth="1"/>
    <col min="13576" max="13579" width="10.5703125" style="137" customWidth="1"/>
    <col min="13580" max="13824" width="8.7109375" style="137"/>
    <col min="13825" max="13825" width="14.42578125" style="137" customWidth="1"/>
    <col min="13826" max="13826" width="10.7109375" style="137" customWidth="1"/>
    <col min="13827" max="13827" width="15.7109375" style="137" customWidth="1"/>
    <col min="13828" max="13828" width="9.85546875" style="137" customWidth="1"/>
    <col min="13829" max="13829" width="12.85546875" style="137" customWidth="1"/>
    <col min="13830" max="13830" width="10.42578125" style="137" customWidth="1"/>
    <col min="13831" max="13831" width="12.28515625" style="137" customWidth="1"/>
    <col min="13832" max="13835" width="10.5703125" style="137" customWidth="1"/>
    <col min="13836" max="14080" width="8.7109375" style="137"/>
    <col min="14081" max="14081" width="14.42578125" style="137" customWidth="1"/>
    <col min="14082" max="14082" width="10.7109375" style="137" customWidth="1"/>
    <col min="14083" max="14083" width="15.7109375" style="137" customWidth="1"/>
    <col min="14084" max="14084" width="9.85546875" style="137" customWidth="1"/>
    <col min="14085" max="14085" width="12.85546875" style="137" customWidth="1"/>
    <col min="14086" max="14086" width="10.42578125" style="137" customWidth="1"/>
    <col min="14087" max="14087" width="12.28515625" style="137" customWidth="1"/>
    <col min="14088" max="14091" width="10.5703125" style="137" customWidth="1"/>
    <col min="14092" max="14336" width="8.7109375" style="137"/>
    <col min="14337" max="14337" width="14.42578125" style="137" customWidth="1"/>
    <col min="14338" max="14338" width="10.7109375" style="137" customWidth="1"/>
    <col min="14339" max="14339" width="15.7109375" style="137" customWidth="1"/>
    <col min="14340" max="14340" width="9.85546875" style="137" customWidth="1"/>
    <col min="14341" max="14341" width="12.85546875" style="137" customWidth="1"/>
    <col min="14342" max="14342" width="10.42578125" style="137" customWidth="1"/>
    <col min="14343" max="14343" width="12.28515625" style="137" customWidth="1"/>
    <col min="14344" max="14347" width="10.5703125" style="137" customWidth="1"/>
    <col min="14348" max="14592" width="8.7109375" style="137"/>
    <col min="14593" max="14593" width="14.42578125" style="137" customWidth="1"/>
    <col min="14594" max="14594" width="10.7109375" style="137" customWidth="1"/>
    <col min="14595" max="14595" width="15.7109375" style="137" customWidth="1"/>
    <col min="14596" max="14596" width="9.85546875" style="137" customWidth="1"/>
    <col min="14597" max="14597" width="12.85546875" style="137" customWidth="1"/>
    <col min="14598" max="14598" width="10.42578125" style="137" customWidth="1"/>
    <col min="14599" max="14599" width="12.28515625" style="137" customWidth="1"/>
    <col min="14600" max="14603" width="10.5703125" style="137" customWidth="1"/>
    <col min="14604" max="14848" width="8.7109375" style="137"/>
    <col min="14849" max="14849" width="14.42578125" style="137" customWidth="1"/>
    <col min="14850" max="14850" width="10.7109375" style="137" customWidth="1"/>
    <col min="14851" max="14851" width="15.7109375" style="137" customWidth="1"/>
    <col min="14852" max="14852" width="9.85546875" style="137" customWidth="1"/>
    <col min="14853" max="14853" width="12.85546875" style="137" customWidth="1"/>
    <col min="14854" max="14854" width="10.42578125" style="137" customWidth="1"/>
    <col min="14855" max="14855" width="12.28515625" style="137" customWidth="1"/>
    <col min="14856" max="14859" width="10.5703125" style="137" customWidth="1"/>
    <col min="14860" max="15104" width="8.7109375" style="137"/>
    <col min="15105" max="15105" width="14.42578125" style="137" customWidth="1"/>
    <col min="15106" max="15106" width="10.7109375" style="137" customWidth="1"/>
    <col min="15107" max="15107" width="15.7109375" style="137" customWidth="1"/>
    <col min="15108" max="15108" width="9.85546875" style="137" customWidth="1"/>
    <col min="15109" max="15109" width="12.85546875" style="137" customWidth="1"/>
    <col min="15110" max="15110" width="10.42578125" style="137" customWidth="1"/>
    <col min="15111" max="15111" width="12.28515625" style="137" customWidth="1"/>
    <col min="15112" max="15115" width="10.5703125" style="137" customWidth="1"/>
    <col min="15116" max="15360" width="8.7109375" style="137"/>
    <col min="15361" max="15361" width="14.42578125" style="137" customWidth="1"/>
    <col min="15362" max="15362" width="10.7109375" style="137" customWidth="1"/>
    <col min="15363" max="15363" width="15.7109375" style="137" customWidth="1"/>
    <col min="15364" max="15364" width="9.85546875" style="137" customWidth="1"/>
    <col min="15365" max="15365" width="12.85546875" style="137" customWidth="1"/>
    <col min="15366" max="15366" width="10.42578125" style="137" customWidth="1"/>
    <col min="15367" max="15367" width="12.28515625" style="137" customWidth="1"/>
    <col min="15368" max="15371" width="10.5703125" style="137" customWidth="1"/>
    <col min="15372" max="15616" width="8.7109375" style="137"/>
    <col min="15617" max="15617" width="14.42578125" style="137" customWidth="1"/>
    <col min="15618" max="15618" width="10.7109375" style="137" customWidth="1"/>
    <col min="15619" max="15619" width="15.7109375" style="137" customWidth="1"/>
    <col min="15620" max="15620" width="9.85546875" style="137" customWidth="1"/>
    <col min="15621" max="15621" width="12.85546875" style="137" customWidth="1"/>
    <col min="15622" max="15622" width="10.42578125" style="137" customWidth="1"/>
    <col min="15623" max="15623" width="12.28515625" style="137" customWidth="1"/>
    <col min="15624" max="15627" width="10.5703125" style="137" customWidth="1"/>
    <col min="15628" max="15872" width="8.7109375" style="137"/>
    <col min="15873" max="15873" width="14.42578125" style="137" customWidth="1"/>
    <col min="15874" max="15874" width="10.7109375" style="137" customWidth="1"/>
    <col min="15875" max="15875" width="15.7109375" style="137" customWidth="1"/>
    <col min="15876" max="15876" width="9.85546875" style="137" customWidth="1"/>
    <col min="15877" max="15877" width="12.85546875" style="137" customWidth="1"/>
    <col min="15878" max="15878" width="10.42578125" style="137" customWidth="1"/>
    <col min="15879" max="15879" width="12.28515625" style="137" customWidth="1"/>
    <col min="15880" max="15883" width="10.5703125" style="137" customWidth="1"/>
    <col min="15884" max="16128" width="8.7109375" style="137"/>
    <col min="16129" max="16129" width="14.42578125" style="137" customWidth="1"/>
    <col min="16130" max="16130" width="10.7109375" style="137" customWidth="1"/>
    <col min="16131" max="16131" width="15.7109375" style="137" customWidth="1"/>
    <col min="16132" max="16132" width="9.85546875" style="137" customWidth="1"/>
    <col min="16133" max="16133" width="12.85546875" style="137" customWidth="1"/>
    <col min="16134" max="16134" width="10.42578125" style="137" customWidth="1"/>
    <col min="16135" max="16135" width="12.28515625" style="137" customWidth="1"/>
    <col min="16136" max="16139" width="10.5703125" style="137" customWidth="1"/>
    <col min="16140" max="16384" width="8.7109375" style="137"/>
  </cols>
  <sheetData>
    <row r="1" spans="1:13" ht="18.75" x14ac:dyDescent="0.3">
      <c r="A1" s="24" t="s">
        <v>382</v>
      </c>
      <c r="B1" s="137"/>
      <c r="C1" s="180"/>
      <c r="D1" s="137"/>
      <c r="E1" s="137"/>
      <c r="F1" s="137"/>
      <c r="G1" s="137"/>
      <c r="H1" s="179"/>
      <c r="I1" s="179"/>
      <c r="J1" s="179"/>
      <c r="K1" s="182"/>
    </row>
    <row r="2" spans="1:13" ht="10.5" customHeight="1" x14ac:dyDescent="0.2"/>
    <row r="3" spans="1:13" ht="15" x14ac:dyDescent="0.25">
      <c r="A3" s="303" t="s">
        <v>204</v>
      </c>
      <c r="B3" s="304"/>
      <c r="C3" s="304"/>
      <c r="D3" s="304"/>
      <c r="E3" s="304"/>
      <c r="F3" s="304"/>
      <c r="G3" s="304"/>
      <c r="H3" s="304"/>
      <c r="I3" s="304"/>
      <c r="J3" s="304"/>
      <c r="K3" s="304"/>
    </row>
    <row r="4" spans="1:13" ht="20.25" customHeight="1" x14ac:dyDescent="0.25">
      <c r="A4" s="173"/>
      <c r="B4" s="178" t="s">
        <v>262</v>
      </c>
      <c r="C4" s="175"/>
      <c r="D4" s="175"/>
      <c r="E4" s="175"/>
      <c r="F4" s="175"/>
      <c r="G4" s="172"/>
      <c r="H4" s="172"/>
      <c r="I4" s="172"/>
      <c r="J4" s="172"/>
      <c r="K4" s="172"/>
      <c r="L4" s="174"/>
      <c r="M4" s="174"/>
    </row>
    <row r="5" spans="1:13" ht="15" x14ac:dyDescent="0.25">
      <c r="A5" s="173"/>
      <c r="B5" s="175" t="s">
        <v>261</v>
      </c>
      <c r="C5" s="177">
        <v>100000</v>
      </c>
      <c r="D5" s="177"/>
      <c r="E5" s="177"/>
      <c r="F5" s="175"/>
      <c r="G5" s="173"/>
      <c r="H5" s="173"/>
      <c r="I5" s="172"/>
      <c r="J5" s="172"/>
      <c r="K5" s="172"/>
      <c r="L5" s="174"/>
      <c r="M5" s="174"/>
    </row>
    <row r="6" spans="1:13" ht="15" x14ac:dyDescent="0.25">
      <c r="A6" s="173"/>
      <c r="B6" s="175" t="s">
        <v>260</v>
      </c>
      <c r="C6" s="175">
        <v>30</v>
      </c>
      <c r="D6" s="175" t="s">
        <v>259</v>
      </c>
      <c r="E6" s="175">
        <f>C6*12</f>
        <v>360</v>
      </c>
      <c r="F6" s="175" t="s">
        <v>258</v>
      </c>
      <c r="G6" s="173"/>
      <c r="H6" s="173"/>
      <c r="I6" s="172"/>
      <c r="J6" s="172"/>
      <c r="K6" s="172"/>
      <c r="L6" s="174"/>
      <c r="M6" s="174"/>
    </row>
    <row r="7" spans="1:13" ht="15" x14ac:dyDescent="0.25">
      <c r="A7" s="173"/>
      <c r="B7" s="175" t="s">
        <v>257</v>
      </c>
      <c r="C7" s="176">
        <v>0.09</v>
      </c>
      <c r="D7" s="176" t="s">
        <v>256</v>
      </c>
      <c r="E7" s="176">
        <f>C7/12</f>
        <v>7.4999999999999997E-3</v>
      </c>
      <c r="F7" s="175" t="s">
        <v>255</v>
      </c>
      <c r="G7" s="173"/>
      <c r="H7" s="172"/>
      <c r="I7" s="172"/>
      <c r="J7" s="172"/>
      <c r="K7" s="172"/>
      <c r="L7" s="174"/>
      <c r="M7" s="174"/>
    </row>
    <row r="8" spans="1:13" ht="15" x14ac:dyDescent="0.25">
      <c r="A8" s="173"/>
      <c r="B8" s="173"/>
      <c r="C8" s="173"/>
      <c r="D8" s="173"/>
      <c r="E8" s="173"/>
      <c r="F8" s="172"/>
      <c r="G8" s="172"/>
      <c r="H8" s="172"/>
      <c r="I8" s="172"/>
      <c r="J8" s="172"/>
      <c r="K8" s="172"/>
    </row>
    <row r="9" spans="1:13" ht="15" x14ac:dyDescent="0.25">
      <c r="A9" s="299" t="s">
        <v>254</v>
      </c>
      <c r="B9" s="300"/>
      <c r="C9" s="300"/>
      <c r="D9" s="300"/>
      <c r="E9" s="300"/>
      <c r="F9" s="300"/>
      <c r="G9" s="300"/>
      <c r="H9" s="300"/>
      <c r="I9" s="300"/>
      <c r="J9" s="300"/>
      <c r="K9" s="300"/>
    </row>
    <row r="10" spans="1:13" ht="15" x14ac:dyDescent="0.25">
      <c r="A10" s="160"/>
      <c r="B10" s="145" t="s">
        <v>253</v>
      </c>
      <c r="C10" s="159"/>
      <c r="D10" s="159"/>
      <c r="E10" s="159"/>
      <c r="F10" s="159"/>
      <c r="G10" s="159"/>
      <c r="H10" s="159"/>
      <c r="I10" s="159"/>
      <c r="J10" s="159"/>
      <c r="K10" s="159"/>
    </row>
    <row r="11" spans="1:13" ht="15" x14ac:dyDescent="0.25">
      <c r="A11" s="160"/>
      <c r="B11" s="159"/>
      <c r="C11" s="159"/>
      <c r="D11" s="159"/>
      <c r="E11" s="159"/>
      <c r="F11" s="159"/>
      <c r="G11" s="159"/>
      <c r="H11" s="159"/>
      <c r="I11" s="159"/>
      <c r="J11" s="159"/>
      <c r="K11" s="159"/>
    </row>
    <row r="12" spans="1:13" ht="15" x14ac:dyDescent="0.25">
      <c r="A12" s="299" t="s">
        <v>252</v>
      </c>
      <c r="B12" s="300"/>
      <c r="C12" s="300"/>
      <c r="D12" s="300"/>
      <c r="E12" s="300"/>
      <c r="F12" s="300"/>
      <c r="G12" s="300"/>
      <c r="H12" s="300"/>
      <c r="I12" s="300"/>
      <c r="J12" s="300"/>
      <c r="K12" s="300"/>
    </row>
    <row r="13" spans="1:13" ht="17.25" x14ac:dyDescent="0.25">
      <c r="A13" s="160"/>
      <c r="B13" s="145" t="s">
        <v>251</v>
      </c>
      <c r="C13" s="159"/>
      <c r="D13" s="171">
        <f>((1+C7/12)^12)-1</f>
        <v>9.3806897670984268E-2</v>
      </c>
      <c r="E13" s="159"/>
      <c r="F13" s="159"/>
      <c r="G13" s="159"/>
      <c r="H13" s="159"/>
      <c r="I13" s="157"/>
      <c r="J13" s="159"/>
      <c r="K13" s="159"/>
    </row>
    <row r="14" spans="1:13" ht="15" x14ac:dyDescent="0.25">
      <c r="A14" s="160"/>
      <c r="B14" s="159"/>
      <c r="C14" s="157"/>
      <c r="D14" s="159"/>
      <c r="E14" s="159"/>
      <c r="F14" s="159"/>
      <c r="G14" s="157"/>
      <c r="H14" s="159"/>
      <c r="I14" s="159"/>
      <c r="J14" s="159"/>
      <c r="K14" s="159"/>
    </row>
    <row r="15" spans="1:13" ht="15" x14ac:dyDescent="0.25">
      <c r="A15" s="160"/>
      <c r="B15" s="159"/>
      <c r="C15" s="170"/>
      <c r="D15" s="159"/>
      <c r="E15" s="159"/>
      <c r="F15" s="159"/>
      <c r="G15" s="159"/>
      <c r="H15" s="159"/>
      <c r="I15" s="159"/>
      <c r="J15" s="159"/>
      <c r="K15" s="159"/>
    </row>
    <row r="16" spans="1:13" ht="15" x14ac:dyDescent="0.25">
      <c r="A16" s="299" t="s">
        <v>203</v>
      </c>
      <c r="B16" s="300"/>
      <c r="C16" s="300"/>
      <c r="D16" s="300"/>
      <c r="E16" s="300"/>
      <c r="F16" s="300"/>
      <c r="G16" s="300"/>
      <c r="H16" s="300"/>
      <c r="I16" s="300"/>
      <c r="J16" s="300"/>
      <c r="K16" s="300"/>
    </row>
    <row r="17" spans="1:11" ht="15" x14ac:dyDescent="0.25">
      <c r="A17" s="160"/>
      <c r="B17" s="169"/>
      <c r="C17" s="169"/>
      <c r="D17" s="169"/>
      <c r="E17" s="169"/>
      <c r="F17" s="169"/>
      <c r="G17" s="169"/>
      <c r="H17" s="169"/>
      <c r="I17" s="169"/>
      <c r="J17" s="169"/>
      <c r="K17" s="169"/>
    </row>
    <row r="18" spans="1:11" ht="46.5" customHeight="1" x14ac:dyDescent="0.25">
      <c r="A18" s="305" t="s">
        <v>250</v>
      </c>
      <c r="B18" s="306"/>
      <c r="C18" s="306"/>
      <c r="D18" s="306"/>
      <c r="E18" s="306"/>
      <c r="F18" s="306"/>
      <c r="G18" s="306"/>
      <c r="H18" s="306"/>
      <c r="I18" s="306"/>
      <c r="J18" s="306"/>
      <c r="K18" s="306"/>
    </row>
    <row r="19" spans="1:11" ht="24.75" customHeight="1" x14ac:dyDescent="0.2">
      <c r="A19" s="157"/>
      <c r="B19" s="168"/>
      <c r="C19" s="297" t="s">
        <v>202</v>
      </c>
      <c r="D19" s="297" t="s">
        <v>201</v>
      </c>
      <c r="E19" s="297" t="s">
        <v>200</v>
      </c>
      <c r="F19" s="297" t="s">
        <v>199</v>
      </c>
      <c r="G19" s="297" t="s">
        <v>198</v>
      </c>
      <c r="H19" s="157"/>
      <c r="I19" s="157"/>
      <c r="J19" s="157"/>
      <c r="K19" s="157"/>
    </row>
    <row r="20" spans="1:11" ht="39" customHeight="1" thickBot="1" x14ac:dyDescent="0.3">
      <c r="A20" s="157"/>
      <c r="B20" s="167" t="s">
        <v>197</v>
      </c>
      <c r="C20" s="298"/>
      <c r="D20" s="298"/>
      <c r="E20" s="298"/>
      <c r="F20" s="298"/>
      <c r="G20" s="298"/>
      <c r="H20" s="157"/>
      <c r="I20" s="157"/>
      <c r="J20" s="157"/>
      <c r="K20" s="157"/>
    </row>
    <row r="21" spans="1:11" ht="15" x14ac:dyDescent="0.2">
      <c r="A21" s="157"/>
      <c r="B21" s="163">
        <v>38383</v>
      </c>
      <c r="C21" s="166">
        <f>C5</f>
        <v>100000</v>
      </c>
      <c r="D21" s="164">
        <f>-PMT(E7, E6, C21, 0, 0)</f>
        <v>804.62261694478264</v>
      </c>
      <c r="E21" s="165">
        <f t="shared" ref="E21:E26" si="0">C21*$E$7</f>
        <v>750</v>
      </c>
      <c r="F21" s="164">
        <f t="shared" ref="F21:F26" si="1">D21-E21</f>
        <v>54.622616944782635</v>
      </c>
      <c r="G21" s="164">
        <f t="shared" ref="G21:G26" si="2">C21-F21</f>
        <v>99945.377383055224</v>
      </c>
      <c r="H21" s="157"/>
      <c r="I21" s="157"/>
      <c r="J21" s="157"/>
      <c r="K21" s="157"/>
    </row>
    <row r="22" spans="1:11" ht="15" x14ac:dyDescent="0.25">
      <c r="A22" s="157"/>
      <c r="B22" s="163">
        <v>38411</v>
      </c>
      <c r="C22" s="162">
        <f>G21</f>
        <v>99945.377383055224</v>
      </c>
      <c r="D22" s="162">
        <f>D21</f>
        <v>804.62261694478264</v>
      </c>
      <c r="E22" s="162">
        <f t="shared" si="0"/>
        <v>749.5903303729142</v>
      </c>
      <c r="F22" s="162">
        <f t="shared" si="1"/>
        <v>55.03228657186844</v>
      </c>
      <c r="G22" s="162">
        <f t="shared" si="2"/>
        <v>99890.345096483361</v>
      </c>
      <c r="H22" s="157"/>
      <c r="I22" s="157"/>
      <c r="J22" s="157"/>
      <c r="K22" s="157"/>
    </row>
    <row r="23" spans="1:11" ht="15" x14ac:dyDescent="0.25">
      <c r="A23" s="157"/>
      <c r="B23" s="163">
        <v>38442</v>
      </c>
      <c r="C23" s="162">
        <f>G22</f>
        <v>99890.345096483361</v>
      </c>
      <c r="D23" s="162">
        <f>D22</f>
        <v>804.62261694478264</v>
      </c>
      <c r="E23" s="162">
        <f t="shared" si="0"/>
        <v>749.17758822362521</v>
      </c>
      <c r="F23" s="162">
        <f t="shared" si="1"/>
        <v>55.445028721157428</v>
      </c>
      <c r="G23" s="162">
        <f t="shared" si="2"/>
        <v>99834.90006776221</v>
      </c>
      <c r="H23" s="157"/>
      <c r="I23" s="157"/>
      <c r="J23" s="157"/>
      <c r="K23" s="157"/>
    </row>
    <row r="24" spans="1:11" ht="15" x14ac:dyDescent="0.25">
      <c r="A24" s="157"/>
      <c r="B24" s="163">
        <v>38472</v>
      </c>
      <c r="C24" s="162">
        <f>G23</f>
        <v>99834.90006776221</v>
      </c>
      <c r="D24" s="162">
        <f>D23</f>
        <v>804.62261694478264</v>
      </c>
      <c r="E24" s="162">
        <f t="shared" si="0"/>
        <v>748.76175050821655</v>
      </c>
      <c r="F24" s="162">
        <f t="shared" si="1"/>
        <v>55.860866436566084</v>
      </c>
      <c r="G24" s="162">
        <f t="shared" si="2"/>
        <v>99779.03920132565</v>
      </c>
      <c r="H24" s="157"/>
      <c r="I24" s="157"/>
      <c r="J24" s="157"/>
      <c r="K24" s="157"/>
    </row>
    <row r="25" spans="1:11" ht="15" x14ac:dyDescent="0.25">
      <c r="A25" s="157"/>
      <c r="B25" s="163">
        <v>38503</v>
      </c>
      <c r="C25" s="162">
        <f>G24</f>
        <v>99779.03920132565</v>
      </c>
      <c r="D25" s="162">
        <f>D24</f>
        <v>804.62261694478264</v>
      </c>
      <c r="E25" s="162">
        <f t="shared" si="0"/>
        <v>748.34279400994239</v>
      </c>
      <c r="F25" s="162">
        <f t="shared" si="1"/>
        <v>56.27982293484024</v>
      </c>
      <c r="G25" s="162">
        <f t="shared" si="2"/>
        <v>99722.759378390809</v>
      </c>
      <c r="H25" s="157"/>
      <c r="I25" s="157"/>
      <c r="J25" s="157"/>
      <c r="K25" s="157"/>
    </row>
    <row r="26" spans="1:11" ht="15" x14ac:dyDescent="0.25">
      <c r="A26" s="157"/>
      <c r="B26" s="163">
        <v>38533</v>
      </c>
      <c r="C26" s="162">
        <f>G25</f>
        <v>99722.759378390809</v>
      </c>
      <c r="D26" s="162">
        <f>D25</f>
        <v>804.62261694478264</v>
      </c>
      <c r="E26" s="162">
        <f t="shared" si="0"/>
        <v>747.92069533793108</v>
      </c>
      <c r="F26" s="162">
        <f t="shared" si="1"/>
        <v>56.701921606851556</v>
      </c>
      <c r="G26" s="162">
        <f t="shared" si="2"/>
        <v>99666.05745678395</v>
      </c>
      <c r="H26" s="157"/>
      <c r="I26" s="157"/>
      <c r="J26" s="157"/>
      <c r="K26" s="157"/>
    </row>
    <row r="27" spans="1:11" x14ac:dyDescent="0.2">
      <c r="A27" s="157"/>
      <c r="B27" s="157"/>
      <c r="C27" s="157"/>
      <c r="D27" s="157"/>
      <c r="E27" s="157"/>
      <c r="F27" s="157"/>
      <c r="G27" s="157"/>
      <c r="H27" s="157"/>
      <c r="I27" s="157"/>
      <c r="J27" s="157"/>
      <c r="K27" s="157"/>
    </row>
    <row r="28" spans="1:11" ht="25.5" customHeight="1" x14ac:dyDescent="0.25">
      <c r="A28" s="299" t="s">
        <v>196</v>
      </c>
      <c r="B28" s="300"/>
      <c r="C28" s="300"/>
      <c r="D28" s="300"/>
      <c r="E28" s="300"/>
      <c r="F28" s="300"/>
      <c r="G28" s="300"/>
      <c r="H28" s="300"/>
      <c r="I28" s="300"/>
      <c r="J28" s="300"/>
      <c r="K28" s="300"/>
    </row>
    <row r="29" spans="1:11" ht="15" x14ac:dyDescent="0.25">
      <c r="A29" s="160"/>
      <c r="B29" s="159"/>
      <c r="C29" s="159"/>
      <c r="D29" s="159"/>
      <c r="E29" s="159"/>
      <c r="F29" s="159"/>
      <c r="G29" s="159"/>
      <c r="H29" s="159"/>
      <c r="I29" s="159"/>
      <c r="J29" s="159"/>
      <c r="K29" s="159"/>
    </row>
    <row r="30" spans="1:11" ht="15" x14ac:dyDescent="0.25">
      <c r="A30" s="160"/>
      <c r="B30" s="145" t="s">
        <v>249</v>
      </c>
      <c r="C30" s="159"/>
      <c r="D30" s="159"/>
      <c r="E30" s="159"/>
      <c r="F30" s="159"/>
      <c r="G30" s="159"/>
      <c r="H30" s="159"/>
      <c r="I30" s="159"/>
      <c r="J30" s="159"/>
      <c r="K30" s="159"/>
    </row>
    <row r="31" spans="1:11" ht="15" x14ac:dyDescent="0.25">
      <c r="A31" s="160"/>
      <c r="B31" s="143"/>
      <c r="C31" s="159"/>
      <c r="D31" s="159"/>
      <c r="E31" s="159"/>
      <c r="F31" s="159"/>
      <c r="G31" s="159"/>
      <c r="H31" s="159"/>
      <c r="I31" s="159"/>
      <c r="J31" s="159"/>
      <c r="K31" s="159"/>
    </row>
    <row r="32" spans="1:11" ht="15" x14ac:dyDescent="0.25">
      <c r="A32" s="160"/>
      <c r="B32" s="143" t="s">
        <v>248</v>
      </c>
      <c r="C32" s="161">
        <f>-PV(9%/12, 15*12, 804.62, 0)</f>
        <v>79330.22861686429</v>
      </c>
      <c r="D32" s="140" t="s">
        <v>247</v>
      </c>
      <c r="E32" s="159"/>
      <c r="F32" s="159"/>
      <c r="G32" s="159"/>
      <c r="H32" s="159"/>
      <c r="I32" s="159"/>
      <c r="J32" s="159"/>
      <c r="K32" s="159"/>
    </row>
    <row r="33" spans="1:12" ht="15" x14ac:dyDescent="0.25">
      <c r="A33" s="160"/>
      <c r="B33" s="159"/>
      <c r="C33" s="159"/>
      <c r="D33" s="159"/>
      <c r="E33" s="159"/>
      <c r="F33" s="159"/>
      <c r="G33" s="159"/>
      <c r="H33" s="159"/>
      <c r="I33" s="159"/>
      <c r="J33" s="159"/>
      <c r="K33" s="159"/>
    </row>
    <row r="34" spans="1:12" ht="79.5" customHeight="1" x14ac:dyDescent="0.25">
      <c r="A34" s="299" t="s">
        <v>195</v>
      </c>
      <c r="B34" s="300"/>
      <c r="C34" s="300"/>
      <c r="D34" s="300"/>
      <c r="E34" s="300"/>
      <c r="F34" s="300"/>
      <c r="G34" s="300"/>
      <c r="H34" s="300"/>
      <c r="I34" s="300"/>
      <c r="J34" s="300"/>
      <c r="K34" s="300"/>
    </row>
    <row r="35" spans="1:12" x14ac:dyDescent="0.2">
      <c r="A35" s="157"/>
      <c r="B35" s="157"/>
      <c r="C35" s="157"/>
      <c r="D35" s="157"/>
      <c r="E35" s="157"/>
      <c r="F35" s="157"/>
      <c r="G35" s="157"/>
      <c r="H35" s="157"/>
      <c r="I35" s="157"/>
      <c r="J35" s="157"/>
      <c r="K35" s="157"/>
    </row>
    <row r="36" spans="1:12" ht="15" x14ac:dyDescent="0.25">
      <c r="A36" s="143"/>
      <c r="B36" s="145" t="s">
        <v>246</v>
      </c>
      <c r="C36" s="143"/>
      <c r="D36" s="143"/>
      <c r="E36" s="143"/>
      <c r="F36" s="143"/>
      <c r="G36" s="143"/>
      <c r="H36" s="158"/>
      <c r="I36" s="143"/>
      <c r="J36" s="143"/>
      <c r="K36" s="143"/>
    </row>
    <row r="37" spans="1:12" ht="15" x14ac:dyDescent="0.25">
      <c r="A37" s="143"/>
      <c r="B37" s="143"/>
      <c r="C37" s="143" t="s">
        <v>245</v>
      </c>
      <c r="D37" s="143"/>
      <c r="E37" s="143"/>
      <c r="F37" s="158">
        <f>-PV(7.125%/12,15*12,804.62,0)</f>
        <v>88826.708203895934</v>
      </c>
      <c r="G37" s="143"/>
      <c r="H37" s="143"/>
      <c r="I37" s="143"/>
      <c r="J37" s="143"/>
      <c r="K37" s="143"/>
    </row>
    <row r="38" spans="1:12" ht="15" x14ac:dyDescent="0.25">
      <c r="A38" s="157"/>
      <c r="B38" s="145" t="s">
        <v>244</v>
      </c>
      <c r="C38" s="157"/>
      <c r="D38" s="157"/>
      <c r="E38" s="157"/>
      <c r="F38" s="157"/>
      <c r="G38" s="157"/>
      <c r="H38" s="157"/>
      <c r="I38" s="157"/>
      <c r="J38" s="157"/>
      <c r="K38" s="157"/>
    </row>
    <row r="39" spans="1:12" s="138" customFormat="1" ht="15" x14ac:dyDescent="0.25">
      <c r="A39" s="140"/>
      <c r="B39" s="140"/>
      <c r="C39" s="143" t="s">
        <v>243</v>
      </c>
      <c r="D39" s="140"/>
      <c r="E39" s="140"/>
      <c r="F39" s="156">
        <f>C32</f>
        <v>79330.22861686429</v>
      </c>
      <c r="G39" s="140"/>
      <c r="H39" s="140"/>
      <c r="I39" s="140"/>
      <c r="J39" s="140"/>
      <c r="K39" s="140"/>
    </row>
    <row r="40" spans="1:12" s="138" customFormat="1" ht="15" x14ac:dyDescent="0.25">
      <c r="A40" s="140"/>
      <c r="B40" s="140"/>
      <c r="C40" s="143" t="s">
        <v>242</v>
      </c>
      <c r="D40" s="140"/>
      <c r="E40" s="140"/>
      <c r="F40" s="156">
        <v>250</v>
      </c>
      <c r="G40" s="140"/>
      <c r="H40" s="140"/>
      <c r="I40" s="140"/>
      <c r="J40" s="142"/>
      <c r="K40" s="140"/>
    </row>
    <row r="41" spans="1:12" s="138" customFormat="1" ht="15" x14ac:dyDescent="0.25">
      <c r="A41" s="140"/>
      <c r="B41" s="140"/>
      <c r="C41" s="143" t="s">
        <v>241</v>
      </c>
      <c r="D41" s="140"/>
      <c r="E41" s="140"/>
      <c r="F41" s="155">
        <f>0.015*F39</f>
        <v>1189.9534292529643</v>
      </c>
      <c r="G41" s="140"/>
      <c r="H41" s="140"/>
      <c r="I41" s="151"/>
      <c r="J41" s="140"/>
      <c r="K41" s="140"/>
    </row>
    <row r="42" spans="1:12" s="138" customFormat="1" ht="15" x14ac:dyDescent="0.25">
      <c r="A42" s="140"/>
      <c r="B42" s="140"/>
      <c r="C42" s="143" t="s">
        <v>240</v>
      </c>
      <c r="D42" s="140"/>
      <c r="E42" s="140"/>
      <c r="F42" s="154">
        <f>SUM(F39:F41)</f>
        <v>80770.182046117261</v>
      </c>
      <c r="G42" s="140"/>
      <c r="H42" s="140"/>
      <c r="I42" s="151"/>
      <c r="J42" s="142"/>
      <c r="K42" s="140"/>
    </row>
    <row r="43" spans="1:12" s="138" customFormat="1" ht="15" x14ac:dyDescent="0.25">
      <c r="A43" s="140"/>
      <c r="B43" s="140"/>
      <c r="C43" s="140"/>
      <c r="D43" s="140"/>
      <c r="E43" s="140"/>
      <c r="F43" s="140"/>
      <c r="G43" s="140"/>
      <c r="H43" s="140"/>
      <c r="I43" s="151"/>
      <c r="J43" s="140"/>
      <c r="K43" s="140"/>
    </row>
    <row r="44" spans="1:12" s="138" customFormat="1" ht="17.25" x14ac:dyDescent="0.4">
      <c r="A44" s="140"/>
      <c r="B44" s="153" t="s">
        <v>239</v>
      </c>
      <c r="C44" s="140"/>
      <c r="D44" s="140"/>
      <c r="E44" s="140"/>
      <c r="F44" s="152">
        <f>F37-F42</f>
        <v>8056.5261577786732</v>
      </c>
      <c r="G44" s="140"/>
      <c r="H44" s="140"/>
      <c r="I44" s="151"/>
      <c r="J44" s="142"/>
      <c r="K44" s="140"/>
    </row>
    <row r="45" spans="1:12" s="138" customFormat="1" ht="15" x14ac:dyDescent="0.25">
      <c r="A45" s="140"/>
      <c r="B45" s="140"/>
      <c r="C45" s="140"/>
      <c r="D45" s="140"/>
      <c r="E45" s="140"/>
      <c r="F45" s="140"/>
      <c r="G45" s="140"/>
      <c r="H45" s="140"/>
      <c r="I45" s="140"/>
      <c r="J45" s="140"/>
      <c r="K45" s="140"/>
      <c r="L45" s="140"/>
    </row>
    <row r="46" spans="1:12" s="138" customFormat="1" ht="15" x14ac:dyDescent="0.25">
      <c r="A46" s="140"/>
      <c r="B46" s="150" t="s">
        <v>238</v>
      </c>
      <c r="C46" s="140"/>
      <c r="D46" s="140"/>
      <c r="E46" s="140"/>
      <c r="F46" s="140"/>
      <c r="G46" s="140"/>
      <c r="H46" s="140"/>
      <c r="I46" s="140"/>
      <c r="J46" s="140"/>
      <c r="K46" s="140"/>
      <c r="L46" s="140"/>
    </row>
    <row r="47" spans="1:12" s="138" customFormat="1" ht="27" customHeight="1" x14ac:dyDescent="0.25">
      <c r="A47" s="140"/>
      <c r="B47" s="145" t="s">
        <v>237</v>
      </c>
      <c r="C47" s="140"/>
      <c r="D47" s="140"/>
      <c r="E47" s="140"/>
      <c r="F47" s="140"/>
      <c r="G47" s="140"/>
      <c r="H47" s="140"/>
      <c r="I47" s="142">
        <f>-PV(7.125%/12,5*12,804.62,0)</f>
        <v>40514.139422486725</v>
      </c>
      <c r="J47" s="140"/>
      <c r="K47" s="140"/>
      <c r="L47" s="140"/>
    </row>
    <row r="48" spans="1:12" s="138" customFormat="1" ht="33" customHeight="1" x14ac:dyDescent="0.25">
      <c r="A48" s="140"/>
      <c r="B48" s="301" t="s">
        <v>236</v>
      </c>
      <c r="C48" s="301"/>
      <c r="D48" s="301"/>
      <c r="E48" s="301"/>
      <c r="F48" s="301"/>
      <c r="G48" s="301"/>
      <c r="H48" s="301"/>
      <c r="I48" s="301"/>
      <c r="J48" s="301"/>
      <c r="K48" s="301"/>
      <c r="L48" s="301"/>
    </row>
    <row r="49" spans="1:12" s="138" customFormat="1" ht="18" customHeight="1" x14ac:dyDescent="0.25">
      <c r="A49" s="140"/>
      <c r="B49" s="140"/>
      <c r="C49" s="149" t="s">
        <v>235</v>
      </c>
      <c r="D49" s="148"/>
      <c r="E49" s="147">
        <f>-PV(0.09/12,10*12,D21)</f>
        <v>63518.271341382155</v>
      </c>
      <c r="F49" s="146"/>
      <c r="G49" s="146"/>
      <c r="H49" s="146"/>
      <c r="I49" s="146"/>
      <c r="J49" s="146"/>
      <c r="K49" s="146"/>
      <c r="L49" s="146"/>
    </row>
    <row r="50" spans="1:12" s="138" customFormat="1" ht="17.25" customHeight="1" x14ac:dyDescent="0.25">
      <c r="A50" s="140"/>
      <c r="B50" s="141" t="s">
        <v>234</v>
      </c>
      <c r="C50" s="140"/>
      <c r="D50" s="140"/>
      <c r="E50" s="140"/>
      <c r="F50" s="140"/>
      <c r="G50" s="140"/>
      <c r="H50" s="140"/>
      <c r="I50" s="140"/>
      <c r="J50" s="140"/>
      <c r="K50" s="140"/>
      <c r="L50" s="140"/>
    </row>
    <row r="51" spans="1:12" s="138" customFormat="1" ht="17.25" customHeight="1" x14ac:dyDescent="0.25">
      <c r="A51" s="140"/>
      <c r="B51" s="141"/>
      <c r="C51" s="140" t="s">
        <v>233</v>
      </c>
      <c r="D51" s="140"/>
      <c r="E51" s="142">
        <f>-PV(0.07125/12,5*12,0,E49)</f>
        <v>44528.572042721811</v>
      </c>
      <c r="F51" s="140"/>
      <c r="G51" s="140"/>
      <c r="H51" s="140"/>
      <c r="I51" s="140"/>
      <c r="J51" s="140"/>
      <c r="K51" s="140"/>
      <c r="L51" s="140"/>
    </row>
    <row r="52" spans="1:12" s="138" customFormat="1" ht="19.5" customHeight="1" x14ac:dyDescent="0.25">
      <c r="A52" s="140"/>
      <c r="B52" s="141" t="s">
        <v>232</v>
      </c>
      <c r="C52" s="140"/>
      <c r="D52" s="140"/>
      <c r="E52" s="140"/>
      <c r="F52" s="140"/>
      <c r="G52" s="140"/>
      <c r="H52" s="142"/>
      <c r="I52" s="140"/>
      <c r="J52" s="140"/>
      <c r="K52" s="140"/>
      <c r="L52" s="140"/>
    </row>
    <row r="53" spans="1:12" s="138" customFormat="1" ht="15" x14ac:dyDescent="0.25">
      <c r="A53" s="140"/>
      <c r="B53" s="140"/>
      <c r="C53" s="140"/>
      <c r="D53" s="140"/>
      <c r="E53" s="140"/>
      <c r="F53" s="140"/>
      <c r="G53" s="140"/>
      <c r="H53" s="140"/>
      <c r="I53" s="140"/>
      <c r="J53" s="140"/>
      <c r="K53" s="140"/>
      <c r="L53" s="140"/>
    </row>
    <row r="54" spans="1:12" s="138" customFormat="1" ht="15" x14ac:dyDescent="0.25">
      <c r="A54" s="140"/>
      <c r="B54" s="145" t="s">
        <v>231</v>
      </c>
      <c r="C54" s="140"/>
      <c r="D54" s="140"/>
      <c r="E54" s="140"/>
      <c r="F54" s="140"/>
      <c r="G54" s="140"/>
      <c r="H54" s="144" t="s">
        <v>230</v>
      </c>
      <c r="I54" s="144" t="s">
        <v>229</v>
      </c>
      <c r="J54" s="140"/>
      <c r="K54" s="140"/>
      <c r="L54" s="140"/>
    </row>
    <row r="55" spans="1:12" s="138" customFormat="1" ht="15" x14ac:dyDescent="0.25">
      <c r="A55" s="140"/>
      <c r="B55" s="140"/>
      <c r="C55" s="140"/>
      <c r="D55" s="140"/>
      <c r="E55" s="140"/>
      <c r="F55" s="140"/>
      <c r="G55" s="140"/>
      <c r="H55" s="142">
        <f>-PMT(7.125%/12, 15*12, F39, 0, 0)</f>
        <v>718.59792893801489</v>
      </c>
      <c r="I55" s="142">
        <f>-PV(7.125%/12,5*12,H55,0)</f>
        <v>36182.765382049838</v>
      </c>
      <c r="J55" s="140"/>
      <c r="K55" s="140"/>
      <c r="L55" s="140"/>
    </row>
    <row r="56" spans="1:12" s="138" customFormat="1" ht="15" x14ac:dyDescent="0.25">
      <c r="A56" s="140"/>
      <c r="B56" s="143" t="s">
        <v>228</v>
      </c>
      <c r="C56" s="140"/>
      <c r="D56" s="140"/>
      <c r="E56" s="140"/>
      <c r="F56" s="140"/>
      <c r="G56" s="140"/>
      <c r="H56" s="140"/>
      <c r="I56" s="140"/>
      <c r="J56" s="140"/>
      <c r="K56" s="140"/>
      <c r="L56" s="140"/>
    </row>
    <row r="57" spans="1:12" s="138" customFormat="1" ht="15" x14ac:dyDescent="0.25">
      <c r="A57" s="140"/>
      <c r="B57" s="140"/>
      <c r="C57" s="140" t="s">
        <v>227</v>
      </c>
      <c r="D57" s="140"/>
      <c r="E57" s="142">
        <f>-PV(0.07125/12,10*12,H55)</f>
        <v>61548.173492107024</v>
      </c>
      <c r="F57" s="140"/>
      <c r="G57" s="140"/>
      <c r="H57" s="140"/>
      <c r="I57" s="140"/>
      <c r="J57" s="140"/>
      <c r="K57" s="140"/>
      <c r="L57" s="140"/>
    </row>
    <row r="58" spans="1:12" s="138" customFormat="1" ht="20.25" customHeight="1" x14ac:dyDescent="0.25">
      <c r="A58" s="140"/>
      <c r="B58" s="141" t="s">
        <v>226</v>
      </c>
      <c r="C58" s="140"/>
      <c r="D58" s="140"/>
      <c r="E58" s="142"/>
      <c r="F58" s="140"/>
      <c r="G58" s="140"/>
      <c r="H58" s="140"/>
      <c r="I58" s="140"/>
      <c r="J58" s="140"/>
      <c r="K58" s="140"/>
      <c r="L58" s="140"/>
    </row>
    <row r="59" spans="1:12" s="138" customFormat="1" ht="17.25" customHeight="1" x14ac:dyDescent="0.25">
      <c r="A59" s="140"/>
      <c r="B59" s="140"/>
      <c r="C59" s="140" t="s">
        <v>225</v>
      </c>
      <c r="D59" s="140"/>
      <c r="E59" s="140"/>
      <c r="F59" s="142">
        <f>-PV(0.07125/12,5*12,0,E57)</f>
        <v>43147.463234814029</v>
      </c>
      <c r="G59" s="140"/>
      <c r="H59" s="140"/>
      <c r="I59" s="140"/>
      <c r="J59" s="140"/>
      <c r="K59" s="140"/>
      <c r="L59" s="140"/>
    </row>
    <row r="60" spans="1:12" s="138" customFormat="1" ht="50.25" customHeight="1" x14ac:dyDescent="0.25">
      <c r="A60" s="140"/>
      <c r="B60" s="301" t="s">
        <v>224</v>
      </c>
      <c r="C60" s="302"/>
      <c r="D60" s="302"/>
      <c r="E60" s="302"/>
      <c r="F60" s="302"/>
      <c r="G60" s="302"/>
      <c r="H60" s="302"/>
      <c r="I60" s="302"/>
      <c r="J60" s="302"/>
      <c r="K60" s="302"/>
      <c r="L60" s="302"/>
    </row>
    <row r="61" spans="1:12" s="138" customFormat="1" ht="18.75" customHeight="1" x14ac:dyDescent="0.25">
      <c r="A61" s="140"/>
      <c r="B61" s="141" t="s">
        <v>223</v>
      </c>
      <c r="C61" s="140"/>
      <c r="D61" s="140"/>
      <c r="E61" s="140"/>
      <c r="F61" s="140"/>
      <c r="G61" s="140"/>
      <c r="H61" s="140"/>
      <c r="I61" s="140"/>
      <c r="J61" s="140"/>
      <c r="K61" s="140"/>
      <c r="L61" s="140"/>
    </row>
    <row r="62" spans="1:12" s="138" customFormat="1" ht="15" x14ac:dyDescent="0.25">
      <c r="A62" s="140"/>
      <c r="B62" s="140"/>
      <c r="C62" s="140"/>
      <c r="D62" s="140"/>
      <c r="E62" s="140"/>
      <c r="F62" s="140"/>
      <c r="G62" s="140"/>
      <c r="H62" s="140"/>
      <c r="I62" s="140"/>
      <c r="J62" s="140"/>
      <c r="K62" s="140"/>
      <c r="L62" s="140"/>
    </row>
    <row r="63" spans="1:12" s="138" customFormat="1" ht="12.75" x14ac:dyDescent="0.2">
      <c r="G63" s="139"/>
    </row>
    <row r="64" spans="1:12" s="138" customFormat="1" ht="12.75" x14ac:dyDescent="0.2"/>
    <row r="65" s="138" customFormat="1" ht="12.75" x14ac:dyDescent="0.2"/>
    <row r="66" s="138" customFormat="1" ht="12.75" x14ac:dyDescent="0.2"/>
    <row r="67" s="138" customFormat="1" ht="12.75" x14ac:dyDescent="0.2"/>
    <row r="68" s="138" customFormat="1" ht="12.75" x14ac:dyDescent="0.2"/>
    <row r="69" s="138" customFormat="1" ht="12.75" x14ac:dyDescent="0.2"/>
    <row r="70" s="138" customFormat="1" ht="12.75" x14ac:dyDescent="0.2"/>
    <row r="71" s="138" customFormat="1" ht="12.75" x14ac:dyDescent="0.2"/>
    <row r="72" s="138" customFormat="1" ht="12.75" x14ac:dyDescent="0.2"/>
    <row r="73" s="138" customFormat="1" ht="12.75" x14ac:dyDescent="0.2"/>
    <row r="74" s="138" customFormat="1" ht="12.75" x14ac:dyDescent="0.2"/>
    <row r="75" s="138" customFormat="1" ht="12.75" x14ac:dyDescent="0.2"/>
    <row r="76" s="138" customFormat="1" ht="12.75" x14ac:dyDescent="0.2"/>
    <row r="77" s="138" customFormat="1" ht="12.75" x14ac:dyDescent="0.2"/>
    <row r="78" s="138" customFormat="1" ht="12.75" x14ac:dyDescent="0.2"/>
    <row r="79" s="138" customFormat="1" ht="12.75" x14ac:dyDescent="0.2"/>
    <row r="80" s="138" customFormat="1" ht="12.75" x14ac:dyDescent="0.2"/>
    <row r="81" s="138" customFormat="1" ht="12.75" x14ac:dyDescent="0.2"/>
    <row r="82" s="138" customFormat="1" ht="12.75" x14ac:dyDescent="0.2"/>
    <row r="83" s="138" customFormat="1" ht="12.75" x14ac:dyDescent="0.2"/>
    <row r="84" s="138" customFormat="1" ht="12.75" x14ac:dyDescent="0.2"/>
    <row r="85" s="138" customFormat="1" ht="12.75" x14ac:dyDescent="0.2"/>
    <row r="86" s="138" customFormat="1" ht="12.75" x14ac:dyDescent="0.2"/>
    <row r="87" s="138" customFormat="1" ht="12.75" x14ac:dyDescent="0.2"/>
    <row r="88" s="138" customFormat="1" ht="12.75" x14ac:dyDescent="0.2"/>
    <row r="89" s="138" customFormat="1" ht="12.75" x14ac:dyDescent="0.2"/>
    <row r="90" s="138" customFormat="1" ht="12.75" x14ac:dyDescent="0.2"/>
    <row r="91" s="138" customFormat="1" ht="12.75" x14ac:dyDescent="0.2"/>
    <row r="92" s="138" customFormat="1" ht="12.75" x14ac:dyDescent="0.2"/>
    <row r="93" s="138" customFormat="1" ht="12.75" x14ac:dyDescent="0.2"/>
    <row r="94" s="138" customFormat="1" ht="12.75" x14ac:dyDescent="0.2"/>
    <row r="95" s="138" customFormat="1" ht="12.75" x14ac:dyDescent="0.2"/>
    <row r="96" s="138" customFormat="1" ht="12.75" x14ac:dyDescent="0.2"/>
    <row r="97" s="138" customFormat="1" ht="12.75" x14ac:dyDescent="0.2"/>
    <row r="98" s="138" customFormat="1" ht="12.75" x14ac:dyDescent="0.2"/>
    <row r="99" s="138" customFormat="1" ht="12.75" x14ac:dyDescent="0.2"/>
    <row r="100" s="138" customFormat="1" ht="12.75" x14ac:dyDescent="0.2"/>
    <row r="101" s="138" customFormat="1" ht="12.75" x14ac:dyDescent="0.2"/>
    <row r="102" s="138" customFormat="1" ht="12.75" x14ac:dyDescent="0.2"/>
    <row r="103" s="138" customFormat="1" ht="12.75" x14ac:dyDescent="0.2"/>
    <row r="104" s="138" customFormat="1" ht="12.75" x14ac:dyDescent="0.2"/>
    <row r="105" s="138" customFormat="1" ht="12.75" x14ac:dyDescent="0.2"/>
    <row r="106" s="138" customFormat="1" ht="12.75" x14ac:dyDescent="0.2"/>
    <row r="107" s="138" customFormat="1" ht="12.75" x14ac:dyDescent="0.2"/>
    <row r="108" s="138" customFormat="1" ht="12.75" x14ac:dyDescent="0.2"/>
    <row r="109" s="138" customFormat="1" ht="12.75" x14ac:dyDescent="0.2"/>
    <row r="110" s="138" customFormat="1" ht="12.75" x14ac:dyDescent="0.2"/>
    <row r="111" s="138" customFormat="1" ht="12.75" x14ac:dyDescent="0.2"/>
    <row r="112" s="138" customFormat="1" ht="12.75" x14ac:dyDescent="0.2"/>
    <row r="113" s="138" customFormat="1" ht="12.75" x14ac:dyDescent="0.2"/>
    <row r="114" s="138" customFormat="1" ht="12.75" x14ac:dyDescent="0.2"/>
    <row r="115" s="138" customFormat="1" ht="12.75" x14ac:dyDescent="0.2"/>
    <row r="116" s="138" customFormat="1" ht="12.75" x14ac:dyDescent="0.2"/>
    <row r="117" s="138" customFormat="1" ht="12.75" x14ac:dyDescent="0.2"/>
    <row r="118" s="138" customFormat="1" ht="12.75" x14ac:dyDescent="0.2"/>
    <row r="119" s="138" customFormat="1" ht="12.75" x14ac:dyDescent="0.2"/>
    <row r="120" s="138" customFormat="1" ht="12.75" x14ac:dyDescent="0.2"/>
    <row r="121" s="138" customFormat="1" ht="12.75" x14ac:dyDescent="0.2"/>
    <row r="122" s="138" customFormat="1" ht="12.75" x14ac:dyDescent="0.2"/>
    <row r="123" s="138" customFormat="1" ht="12.75" x14ac:dyDescent="0.2"/>
    <row r="124" s="138" customFormat="1" ht="12.75" x14ac:dyDescent="0.2"/>
    <row r="125" s="138" customFormat="1" ht="12.75" x14ac:dyDescent="0.2"/>
    <row r="126" s="138" customFormat="1" ht="12.75" x14ac:dyDescent="0.2"/>
    <row r="127" s="138" customFormat="1" ht="12.75" x14ac:dyDescent="0.2"/>
    <row r="128" s="138" customFormat="1" ht="12.75" x14ac:dyDescent="0.2"/>
    <row r="129" s="138" customFormat="1" ht="12.75" x14ac:dyDescent="0.2"/>
    <row r="130" s="138" customFormat="1" ht="12.75" x14ac:dyDescent="0.2"/>
    <row r="131" s="138" customFormat="1" ht="12.75" x14ac:dyDescent="0.2"/>
    <row r="132" s="138" customFormat="1" ht="12.75" x14ac:dyDescent="0.2"/>
    <row r="133" s="138" customFormat="1" ht="12.75" x14ac:dyDescent="0.2"/>
    <row r="134" s="138" customFormat="1" ht="12.75" x14ac:dyDescent="0.2"/>
    <row r="135" s="138" customFormat="1" ht="12.75" x14ac:dyDescent="0.2"/>
    <row r="136" s="138" customFormat="1" ht="12.75" x14ac:dyDescent="0.2"/>
    <row r="137" s="138" customFormat="1" ht="12.75" x14ac:dyDescent="0.2"/>
    <row r="138" s="138" customFormat="1" ht="12.75" x14ac:dyDescent="0.2"/>
    <row r="139" s="138" customFormat="1" ht="12.75" x14ac:dyDescent="0.2"/>
    <row r="140" s="138" customFormat="1" ht="12.75" x14ac:dyDescent="0.2"/>
    <row r="141" s="138" customFormat="1" ht="12.75" x14ac:dyDescent="0.2"/>
    <row r="142" s="138" customFormat="1" ht="12.75" x14ac:dyDescent="0.2"/>
    <row r="143" s="138" customFormat="1" ht="12.75" x14ac:dyDescent="0.2"/>
    <row r="144" s="138" customFormat="1" ht="12.75" x14ac:dyDescent="0.2"/>
    <row r="145" s="138" customFormat="1" ht="12.75" x14ac:dyDescent="0.2"/>
    <row r="146" s="138" customFormat="1" ht="12.75" x14ac:dyDescent="0.2"/>
    <row r="147" s="138" customFormat="1" ht="12.75" x14ac:dyDescent="0.2"/>
    <row r="148" s="138" customFormat="1" ht="12.75" x14ac:dyDescent="0.2"/>
    <row r="149" s="138" customFormat="1" ht="12.75" x14ac:dyDescent="0.2"/>
    <row r="150" s="138" customFormat="1" ht="12.75" x14ac:dyDescent="0.2"/>
    <row r="151" s="138" customFormat="1" ht="12.75" x14ac:dyDescent="0.2"/>
    <row r="152" s="138" customFormat="1" ht="12.75" x14ac:dyDescent="0.2"/>
    <row r="153" s="138" customFormat="1" ht="12.75" x14ac:dyDescent="0.2"/>
    <row r="154" s="138" customFormat="1" ht="12.75" x14ac:dyDescent="0.2"/>
    <row r="155" s="138" customFormat="1" ht="12.75" x14ac:dyDescent="0.2"/>
    <row r="156" s="138" customFormat="1" ht="12.75" x14ac:dyDescent="0.2"/>
    <row r="157" s="138" customFormat="1" ht="12.75" x14ac:dyDescent="0.2"/>
    <row r="158" s="138" customFormat="1" ht="12.75" x14ac:dyDescent="0.2"/>
    <row r="159" s="138" customFormat="1" ht="12.75" x14ac:dyDescent="0.2"/>
    <row r="160" s="138" customFormat="1" ht="12.75" x14ac:dyDescent="0.2"/>
    <row r="161" s="138" customFormat="1" ht="12.75" x14ac:dyDescent="0.2"/>
    <row r="162" s="138" customFormat="1" ht="12.75" x14ac:dyDescent="0.2"/>
    <row r="163" s="138" customFormat="1" ht="12.75" x14ac:dyDescent="0.2"/>
    <row r="164" s="138" customFormat="1" ht="12.75" x14ac:dyDescent="0.2"/>
    <row r="165" s="138" customFormat="1" ht="12.75" x14ac:dyDescent="0.2"/>
    <row r="166" s="138" customFormat="1" ht="12.75" x14ac:dyDescent="0.2"/>
    <row r="167" s="138" customFormat="1" ht="12.75" x14ac:dyDescent="0.2"/>
    <row r="168" s="138" customFormat="1" ht="12.75" x14ac:dyDescent="0.2"/>
    <row r="169" s="138" customFormat="1" ht="12.75" x14ac:dyDescent="0.2"/>
    <row r="170" s="138" customFormat="1" ht="12.75" x14ac:dyDescent="0.2"/>
    <row r="171" s="138" customFormat="1" ht="12.75" x14ac:dyDescent="0.2"/>
    <row r="172" s="138" customFormat="1" ht="12.75" x14ac:dyDescent="0.2"/>
    <row r="173" s="138" customFormat="1" ht="12.75" x14ac:dyDescent="0.2"/>
    <row r="174" s="138" customFormat="1" ht="12.75" x14ac:dyDescent="0.2"/>
    <row r="175" s="138" customFormat="1" ht="12.75" x14ac:dyDescent="0.2"/>
    <row r="176" s="138" customFormat="1" ht="12.75" x14ac:dyDescent="0.2"/>
    <row r="177" s="138" customFormat="1" ht="12.75" x14ac:dyDescent="0.2"/>
    <row r="178" s="138" customFormat="1" ht="12.75" x14ac:dyDescent="0.2"/>
    <row r="179" s="138" customFormat="1" ht="12.75" x14ac:dyDescent="0.2"/>
    <row r="180" s="138" customFormat="1" ht="12.75" x14ac:dyDescent="0.2"/>
    <row r="181" s="138" customFormat="1" ht="12.75" x14ac:dyDescent="0.2"/>
    <row r="182" s="138" customFormat="1" ht="12.75" x14ac:dyDescent="0.2"/>
    <row r="183" s="138" customFormat="1" ht="12.75" x14ac:dyDescent="0.2"/>
    <row r="184" s="138" customFormat="1" ht="12.75" x14ac:dyDescent="0.2"/>
    <row r="185" s="138" customFormat="1" ht="12.75" x14ac:dyDescent="0.2"/>
    <row r="186" s="138" customFormat="1" ht="12.75" x14ac:dyDescent="0.2"/>
    <row r="187" s="138" customFormat="1" ht="12.75" x14ac:dyDescent="0.2"/>
    <row r="188" s="138" customFormat="1" ht="12.75" x14ac:dyDescent="0.2"/>
    <row r="189" s="138" customFormat="1" ht="12.75" x14ac:dyDescent="0.2"/>
    <row r="190" s="138" customFormat="1" ht="12.75" x14ac:dyDescent="0.2"/>
    <row r="191" s="138" customFormat="1" ht="12.75" x14ac:dyDescent="0.2"/>
    <row r="192" s="138" customFormat="1" ht="12.75" x14ac:dyDescent="0.2"/>
    <row r="193" s="138" customFormat="1" ht="12.75" x14ac:dyDescent="0.2"/>
    <row r="194" s="138" customFormat="1" ht="12.75" x14ac:dyDescent="0.2"/>
  </sheetData>
  <mergeCells count="14">
    <mergeCell ref="A3:K3"/>
    <mergeCell ref="A9:K9"/>
    <mergeCell ref="A12:K12"/>
    <mergeCell ref="A16:K16"/>
    <mergeCell ref="A18:K18"/>
    <mergeCell ref="G19:G20"/>
    <mergeCell ref="A28:K28"/>
    <mergeCell ref="A34:K34"/>
    <mergeCell ref="B48:L48"/>
    <mergeCell ref="B60:L60"/>
    <mergeCell ref="C19:C20"/>
    <mergeCell ref="D19:D20"/>
    <mergeCell ref="E19:E20"/>
    <mergeCell ref="F19:F20"/>
  </mergeCells>
  <phoneticPr fontId="3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第2章7解答例</vt:lpstr>
      <vt:lpstr>第3章7解答例</vt:lpstr>
      <vt:lpstr>第3章7.ｆ解答例</vt:lpstr>
      <vt:lpstr>第3章7.g解答例</vt:lpstr>
      <vt:lpstr>第3章8解答例</vt:lpstr>
      <vt:lpstr>第4章6解答例</vt:lpstr>
      <vt:lpstr>第6章7解答例</vt:lpstr>
      <vt:lpstr>第6章8解答例</vt:lpstr>
      <vt:lpstr>第7章7解答例</vt:lpstr>
      <vt:lpstr>第7章8解答例</vt:lpstr>
      <vt:lpstr>第8章9解答例</vt:lpstr>
      <vt:lpstr>第9章8解答例</vt:lpstr>
      <vt:lpstr>第6章8解答例!Print_Area</vt:lpstr>
    </vt:vector>
  </TitlesOfParts>
  <Company>University of Washington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Wehrly</dc:creator>
  <cp:lastModifiedBy>k</cp:lastModifiedBy>
  <cp:lastPrinted>2004-09-01T02:03:45Z</cp:lastPrinted>
  <dcterms:created xsi:type="dcterms:W3CDTF">2004-08-25T21:52:58Z</dcterms:created>
  <dcterms:modified xsi:type="dcterms:W3CDTF">2017-04-04T10:36:27Z</dcterms:modified>
</cp:coreProperties>
</file>