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341" documentId="13_ncr:1_{310BABBE-DCD8-4E12-B918-667F024EE8B2}" xr6:coauthVersionLast="47" xr6:coauthVersionMax="47" xr10:uidLastSave="{729CC6BF-5BBC-4328-ADA2-C738480A5F6F}"/>
  <bookViews>
    <workbookView xWindow="4065" yWindow="2280" windowWidth="19740" windowHeight="1122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B33" i="1"/>
  <c r="AB32" i="1"/>
  <c r="AB31" i="1"/>
  <c r="AB30" i="1"/>
  <c r="AB24" i="1"/>
  <c r="AB23" i="1"/>
  <c r="AB22" i="1"/>
  <c r="AB21" i="1"/>
  <c r="AA34" i="1"/>
  <c r="AA33" i="1"/>
  <c r="AA32" i="1"/>
  <c r="AA31" i="1"/>
  <c r="AA30" i="1"/>
  <c r="AA24" i="1"/>
  <c r="AA23" i="1"/>
  <c r="AA22" i="1"/>
  <c r="Z34" i="1"/>
  <c r="Z33" i="1"/>
  <c r="Z32" i="1"/>
  <c r="Z31" i="1"/>
  <c r="Z30" i="1"/>
  <c r="Z24" i="1"/>
  <c r="Z23" i="1"/>
  <c r="Z22" i="1"/>
  <c r="Z21" i="1"/>
  <c r="Y34" i="1"/>
  <c r="Y33" i="1"/>
  <c r="Y32" i="1"/>
  <c r="Y31" i="1"/>
  <c r="Y24" i="1"/>
  <c r="Y23" i="1"/>
  <c r="Y22" i="1"/>
  <c r="Y21" i="1"/>
  <c r="V34" i="1"/>
  <c r="V33" i="1"/>
  <c r="V32" i="1"/>
  <c r="V31" i="1"/>
  <c r="V30" i="1"/>
  <c r="U34" i="1"/>
  <c r="U33" i="1"/>
  <c r="U32" i="1"/>
  <c r="U31" i="1"/>
  <c r="U30" i="1"/>
  <c r="T34" i="1"/>
  <c r="T33" i="1"/>
  <c r="T32" i="1"/>
  <c r="T31" i="1"/>
  <c r="T30" i="1"/>
  <c r="S34" i="1"/>
  <c r="S33" i="1"/>
  <c r="S32" i="1"/>
  <c r="S31" i="1"/>
  <c r="V24" i="1"/>
  <c r="V23" i="1"/>
  <c r="V22" i="1"/>
  <c r="V21" i="1"/>
  <c r="U24" i="1"/>
  <c r="U23" i="1"/>
  <c r="U22" i="1"/>
  <c r="T23" i="1"/>
  <c r="T24" i="1"/>
  <c r="T22" i="1"/>
  <c r="T21" i="1"/>
  <c r="S24" i="1"/>
  <c r="S23" i="1"/>
  <c r="S22" i="1"/>
  <c r="S21" i="1"/>
  <c r="U35" i="2"/>
  <c r="W47" i="2" l="1"/>
  <c r="X47" i="2" s="1"/>
  <c r="U47" i="2"/>
  <c r="V47" i="2" s="1"/>
  <c r="T47" i="2"/>
  <c r="S47" i="2"/>
  <c r="R47" i="2"/>
  <c r="Q47" i="2"/>
  <c r="W44" i="2"/>
  <c r="X44" i="2" s="1"/>
  <c r="V44" i="2"/>
  <c r="U44" i="2"/>
  <c r="S44" i="2"/>
  <c r="T44" i="2" s="1"/>
  <c r="Q44" i="2"/>
  <c r="R44" i="2" s="1"/>
  <c r="U40" i="2" l="1"/>
  <c r="T40" i="2"/>
  <c r="S40" i="2"/>
  <c r="R40" i="2"/>
  <c r="U39" i="2"/>
  <c r="T39" i="2"/>
  <c r="S39" i="2"/>
  <c r="R39" i="2"/>
  <c r="U76" i="2" l="1"/>
  <c r="V76" i="2" s="1"/>
  <c r="U74" i="2"/>
  <c r="V74" i="2" s="1"/>
  <c r="R76" i="2"/>
  <c r="S76" i="2" s="1"/>
  <c r="R74" i="2"/>
  <c r="S74" i="2" s="1"/>
  <c r="R71" i="2"/>
  <c r="S71" i="2" s="1"/>
  <c r="U69" i="2"/>
  <c r="V69" i="2" s="1"/>
  <c r="R69" i="2"/>
  <c r="S69" i="2" s="1"/>
  <c r="T71" i="2"/>
  <c r="U71" i="2" s="1"/>
  <c r="V71" i="2" s="1"/>
  <c r="R34" i="2"/>
  <c r="V35" i="2" s="1"/>
  <c r="W35" i="2" s="1"/>
  <c r="Q34" i="2"/>
  <c r="T35" i="2" s="1"/>
  <c r="R32" i="2"/>
  <c r="V32" i="2" s="1"/>
  <c r="W32" i="2" s="1"/>
  <c r="Q32" i="2"/>
  <c r="T32" i="2" s="1"/>
  <c r="U32" i="2" s="1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<sst xmlns="http://schemas.openxmlformats.org/spreadsheetml/2006/main" count="446" uniqueCount="119">
  <si>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</si>
  <si>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</si>
  <si>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</si>
  <si>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</si>
  <si>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</si>
  <si>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</si>
  <si>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</si>
  <si>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</si>
  <si>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</si>
  <si>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</si>
  <si>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</si>
  <si>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</si>
  <si>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</si>
  <si>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</si>
  <si>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</si>
  <si>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</si>
  <si>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</si>
  <si>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</si>
  <si>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</si>
  <si>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</si>
  <si>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</si>
  <si>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</si>
  <si>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</si>
  <si>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</si>
  <si>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</si>
  <si>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</si>
  <si>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</si>
  <si>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</si>
  <si>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</si>
  <si>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</si>
  <si>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</si>
  <si>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</si>
  <si>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</si>
  <si>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</si>
  <si>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</si>
  <si>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</si>
  <si>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</si>
  <si>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</si>
  <si>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</si>
  <si>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</si>
  <si>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</si>
  <si>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</si>
  <si>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</si>
  <si>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</si>
  <si>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</si>
  <si>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</si>
  <si>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</si>
  <si>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</si>
  <si>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</si>
  <si>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</si>
  <si>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</si>
  <si>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</si>
  <si>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</si>
  <si>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</si>
  <si>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</si>
  <si>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</si>
  <si>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</si>
  <si>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</si>
  <si>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</si>
  <si>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事前</t>
    <rPh sb="0" eb="2">
      <t>ジゼン</t>
    </rPh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</si>
  <si>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</si>
  <si>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</si>
  <si>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</si>
  <si>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</si>
  <si>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</si>
  <si>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p_correl_pre</t>
    <phoneticPr fontId="2"/>
  </si>
  <si>
    <t>p_correl_post</t>
    <phoneticPr fontId="2"/>
  </si>
  <si>
    <t>i_correl_pre</t>
    <phoneticPr fontId="2"/>
  </si>
  <si>
    <t>i_correl_post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</si>
  <si>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</si>
  <si>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</si>
  <si>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</si>
  <si>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</si>
  <si>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</si>
  <si>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</si>
  <si>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</si>
  <si>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</si>
  <si>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</si>
  <si>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</si>
  <si>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</si>
  <si>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</si>
  <si>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</si>
  <si>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</si>
  <si>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</si>
  <si>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</si>
  <si>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</si>
  <si>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</si>
  <si>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p_pre</t>
    <phoneticPr fontId="2"/>
  </si>
  <si>
    <t>p_pos</t>
    <phoneticPr fontId="2"/>
  </si>
  <si>
    <t>t</t>
    <phoneticPr fontId="2"/>
  </si>
  <si>
    <t>p</t>
    <phoneticPr fontId="2"/>
  </si>
  <si>
    <t>i_pre</t>
    <phoneticPr fontId="2"/>
  </si>
  <si>
    <t>i_pos</t>
    <phoneticPr fontId="2"/>
  </si>
  <si>
    <t>touch_p_pre</t>
    <phoneticPr fontId="2"/>
  </si>
  <si>
    <t>touoch_p_post</t>
    <phoneticPr fontId="2"/>
  </si>
  <si>
    <t>touch_i_pre</t>
    <phoneticPr fontId="2"/>
  </si>
  <si>
    <t>touch_i_post</t>
    <phoneticPr fontId="2"/>
  </si>
  <si>
    <t>time_p_pre</t>
    <phoneticPr fontId="2"/>
  </si>
  <si>
    <t>time_p_post</t>
    <phoneticPr fontId="2"/>
  </si>
  <si>
    <t>time_i_pre</t>
    <phoneticPr fontId="2"/>
  </si>
  <si>
    <t>time_i_post</t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</si>
  <si>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</si>
  <si>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</si>
  <si>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</si>
  <si>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</si>
  <si>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</si>
  <si>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</si>
  <si>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</si>
  <si>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</si>
  <si>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課題ごと</t>
    <rPh sb="0" eb="2">
      <t>カダイ</t>
    </rPh>
    <phoneticPr fontId="2"/>
  </si>
  <si>
    <t>難易毎</t>
    <rPh sb="0" eb="2">
      <t>ナンイ</t>
    </rPh>
    <rPh sb="2" eb="3">
      <t>マイ</t>
    </rPh>
    <phoneticPr fontId="2"/>
  </si>
  <si>
    <t>通常：事前</t>
    <rPh sb="0" eb="2">
      <t>ツウジョウ</t>
    </rPh>
    <rPh sb="3" eb="5">
      <t>ジゼン</t>
    </rPh>
    <phoneticPr fontId="2"/>
  </si>
  <si>
    <t>通常：事後</t>
    <rPh sb="0" eb="2">
      <t>ツウジョウ</t>
    </rPh>
    <rPh sb="3" eb="5">
      <t>ジゴ</t>
    </rPh>
    <phoneticPr fontId="2"/>
  </si>
  <si>
    <t>SSE:レベル1</t>
    <phoneticPr fontId="2"/>
  </si>
  <si>
    <t>SSE:レベル2</t>
  </si>
  <si>
    <t>SSE:レベル3</t>
  </si>
  <si>
    <t>SSE:レベル4</t>
  </si>
  <si>
    <t>SSE:レベル5</t>
  </si>
  <si>
    <t>t-検定: 分散が等しくないと仮定した２標本による検定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</si>
</sst>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3B7-447F-B02B-CFB7F2EDBD91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6.8658020911948769</c:v>
                  </c:pt>
                  <c:pt idx="3">
                    <c:v>0.6452186162239153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6.8658020911948769</c:v>
                  </c:pt>
                  <c:pt idx="3">
                    <c:v>0.6452186162239153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4.6457219251336896</c:v>
                </c:pt>
                <c:pt idx="1">
                  <c:v>15.71439042044959</c:v>
                </c:pt>
                <c:pt idx="3">
                  <c:v>14.037647940612985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47F-B02B-CFB7F2EDBD91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4.3770472159456837</c:v>
                  </c:pt>
                  <c:pt idx="1">
                    <c:v>6.1076835870428834</c:v>
                  </c:pt>
                  <c:pt idx="2">
                    <c:v>1.1733704328106547</c:v>
                  </c:pt>
                  <c:pt idx="3">
                    <c:v>6.7670806884886199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4.3770472159456837</c:v>
                  </c:pt>
                  <c:pt idx="1">
                    <c:v>6.1076835870428834</c:v>
                  </c:pt>
                  <c:pt idx="2">
                    <c:v>1.1733704328106547</c:v>
                  </c:pt>
                  <c:pt idx="3">
                    <c:v>6.7670806884886199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9.5178319443666641</c:v>
                </c:pt>
                <c:pt idx="1">
                  <c:v>15.943012273166469</c:v>
                </c:pt>
                <c:pt idx="2">
                  <c:v>8.9568755874498329</c:v>
                </c:pt>
                <c:pt idx="3">
                  <c:v>16.873050209244241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47F-B02B-CFB7F2EDBD91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3.2147609857590096</c:v>
                  </c:pt>
                  <c:pt idx="1">
                    <c:v>6.1486685037937487</c:v>
                  </c:pt>
                  <c:pt idx="2">
                    <c:v>4.1298489631679915</c:v>
                  </c:pt>
                  <c:pt idx="3">
                    <c:v>6.4772494647050305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3.2147609857590096</c:v>
                  </c:pt>
                  <c:pt idx="1">
                    <c:v>6.1486685037937487</c:v>
                  </c:pt>
                  <c:pt idx="2">
                    <c:v>4.1298489631679915</c:v>
                  </c:pt>
                  <c:pt idx="3">
                    <c:v>6.4772494647050305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10.364245249949688</c:v>
                </c:pt>
                <c:pt idx="1">
                  <c:v>11.758044578719737</c:v>
                </c:pt>
                <c:pt idx="2">
                  <c:v>9.2539310883531929</c:v>
                </c:pt>
                <c:pt idx="3">
                  <c:v>12.023992658297518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47F-B02B-CFB7F2EDBD91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3.3651677051330493</c:v>
                  </c:pt>
                  <c:pt idx="1">
                    <c:v>4.3293693222021847</c:v>
                  </c:pt>
                  <c:pt idx="2">
                    <c:v>3.5481432695379902</c:v>
                  </c:pt>
                  <c:pt idx="3">
                    <c:v>3.9695089032141415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3.3651677051330493</c:v>
                  </c:pt>
                  <c:pt idx="1">
                    <c:v>4.3293693222021847</c:v>
                  </c:pt>
                  <c:pt idx="2">
                    <c:v>3.5481432695379902</c:v>
                  </c:pt>
                  <c:pt idx="3">
                    <c:v>3.9695089032141415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9.9621493293864596</c:v>
                </c:pt>
                <c:pt idx="1">
                  <c:v>9.4954319378741339</c:v>
                </c:pt>
                <c:pt idx="2">
                  <c:v>9.9457122031236764</c:v>
                </c:pt>
                <c:pt idx="3">
                  <c:v>9.9226579781879511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47F-B02B-CFB7F2E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58960"/>
        <c:axId val="1178166032"/>
      </c:barChart>
      <c:catAx>
        <c:axId val="11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66032"/>
        <c:crosses val="autoZero"/>
        <c:auto val="1"/>
        <c:lblAlgn val="ctr"/>
        <c:lblOffset val="100"/>
        <c:noMultiLvlLbl val="0"/>
      </c:catAx>
      <c:valAx>
        <c:axId val="117816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1666666666666664E-2"/>
              <c:y val="0.134259259259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1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10.21754600827677</c:v>
                  </c:pt>
                  <c:pt idx="2">
                    <c:v>0</c:v>
                  </c:pt>
                  <c:pt idx="3">
                    <c:v>14.696247232055764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10.21754600827677</c:v>
                  </c:pt>
                  <c:pt idx="2">
                    <c:v>0</c:v>
                  </c:pt>
                  <c:pt idx="3">
                    <c:v>14.696247232055764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14.918236681922115</c:v>
                </c:pt>
                <c:pt idx="2">
                  <c:v>10.05167958656331</c:v>
                </c:pt>
                <c:pt idx="3">
                  <c:v>18.95308006233163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5FF-AE33-1934236D45A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13.130080010281272</c:v>
                  </c:pt>
                  <c:pt idx="1">
                    <c:v>12.681431910871705</c:v>
                  </c:pt>
                  <c:pt idx="2">
                    <c:v>20.161708103803086</c:v>
                  </c:pt>
                  <c:pt idx="3">
                    <c:v>16.727100015146281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13.130080010281272</c:v>
                  </c:pt>
                  <c:pt idx="1">
                    <c:v>12.681431910871705</c:v>
                  </c:pt>
                  <c:pt idx="2">
                    <c:v>20.161708103803086</c:v>
                  </c:pt>
                  <c:pt idx="3">
                    <c:v>16.727100015146281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41.804947683585773</c:v>
                </c:pt>
                <c:pt idx="1">
                  <c:v>23.280876083764038</c:v>
                </c:pt>
                <c:pt idx="2">
                  <c:v>37.193058167831744</c:v>
                </c:pt>
                <c:pt idx="3">
                  <c:v>25.054865551099216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5FF-AE33-1934236D45A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17.837104994937945</c:v>
                  </c:pt>
                  <c:pt idx="1">
                    <c:v>13.822628572470176</c:v>
                  </c:pt>
                  <c:pt idx="2">
                    <c:v>15.78996640778473</c:v>
                  </c:pt>
                  <c:pt idx="3">
                    <c:v>13.059103938567604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17.837104994937945</c:v>
                  </c:pt>
                  <c:pt idx="1">
                    <c:v>13.822628572470176</c:v>
                  </c:pt>
                  <c:pt idx="2">
                    <c:v>15.78996640778473</c:v>
                  </c:pt>
                  <c:pt idx="3">
                    <c:v>13.059103938567604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30.9120929495569</c:v>
                </c:pt>
                <c:pt idx="1">
                  <c:v>25.915540751954993</c:v>
                </c:pt>
                <c:pt idx="2">
                  <c:v>25.885903806619385</c:v>
                </c:pt>
                <c:pt idx="3">
                  <c:v>25.505304445249305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5FF-AE33-1934236D45A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11.449025384329159</c:v>
                  </c:pt>
                  <c:pt idx="1">
                    <c:v>9.9716943458124749</c:v>
                  </c:pt>
                  <c:pt idx="2">
                    <c:v>14.258906410472907</c:v>
                  </c:pt>
                  <c:pt idx="3">
                    <c:v>9.7978437402395251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11.449025384329159</c:v>
                  </c:pt>
                  <c:pt idx="1">
                    <c:v>9.9716943458124749</c:v>
                  </c:pt>
                  <c:pt idx="2">
                    <c:v>14.258906410472907</c:v>
                  </c:pt>
                  <c:pt idx="3">
                    <c:v>9.7978437402395251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28.095323485159735</c:v>
                </c:pt>
                <c:pt idx="1">
                  <c:v>29.561893420156036</c:v>
                </c:pt>
                <c:pt idx="2">
                  <c:v>26.676861108638015</c:v>
                </c:pt>
                <c:pt idx="3">
                  <c:v>27.495647193209351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5FF-AE33-1934236D45A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11.061653805214194</c:v>
                  </c:pt>
                  <c:pt idx="1">
                    <c:v>6.3309428761678177</c:v>
                  </c:pt>
                  <c:pt idx="2">
                    <c:v>8.8318848835849852</c:v>
                  </c:pt>
                  <c:pt idx="3">
                    <c:v>9.672761992465162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11.061653805214194</c:v>
                  </c:pt>
                  <c:pt idx="1">
                    <c:v>6.3309428761678177</c:v>
                  </c:pt>
                  <c:pt idx="2">
                    <c:v>8.8318848835849852</c:v>
                  </c:pt>
                  <c:pt idx="3">
                    <c:v>9.672761992465162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18.416554728953653</c:v>
                </c:pt>
                <c:pt idx="1">
                  <c:v>32.730953972532795</c:v>
                </c:pt>
                <c:pt idx="2">
                  <c:v>18.298871379368272</c:v>
                </c:pt>
                <c:pt idx="3">
                  <c:v>30.464560363554845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5FF-AE33-1934236D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62256"/>
        <c:axId val="1182247696"/>
      </c:barChart>
      <c:catAx>
        <c:axId val="11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47696"/>
        <c:crosses val="autoZero"/>
        <c:auto val="1"/>
        <c:lblAlgn val="ctr"/>
        <c:lblOffset val="100"/>
        <c:noMultiLvlLbl val="0"/>
      </c:catAx>
      <c:valAx>
        <c:axId val="1182247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30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3333333333333333E-2"/>
              <c:y val="0.1805555555555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2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434578</xdr:colOff>
      <xdr:row>3</xdr:row>
      <xdr:rowOff>134540</xdr:rowOff>
    </xdr:from>
    <xdr:to>
      <xdr:col>30</xdr:col>
      <xdr:colOff>172641</xdr:colOff>
      <xdr:row>19</xdr:row>
      <xdr:rowOff>175022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A8E7BC-D4BF-DE58-9727-2F850CF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53578</xdr:colOff>
      <xdr:row>18</xdr:row>
      <xdr:rowOff>15479</xdr:rowOff>
    </xdr:from>
    <xdr:to>
      <xdr:col>32</xdr:col>
      <xdr:colOff>482203</xdr:colOff>
      <xdr:row>34</xdr:row>
      <xdr:rowOff>55960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B31643-6788-FF2D-645F-B6D5D760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Q4" zoomScale="80" zoomScaleNormal="80" workbookViewId="0">
      <selection activeCell="V44" sqref="V44"/>
    </sheetView>
  </sheetViews>
  <sheetFormatPr defaultRowHeight="13.5" x14ac:dyDescent="0.15"/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</row>
    <row r="3" spans="1:19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9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9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9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  <c r="P6" s="6"/>
      <c r="Q6" s="5"/>
      <c r="R6" s="6"/>
      <c r="S6" s="6"/>
    </row>
    <row r="7" spans="1:19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Q7" s="7"/>
    </row>
    <row r="8" spans="1:19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  <c r="Q8" s="7"/>
    </row>
    <row r="9" spans="1:19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  <c r="Q9" s="7"/>
    </row>
    <row r="10" spans="1:19" ht="14.25" thickBot="1" x14ac:dyDescent="0.2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  <c r="P10" s="9"/>
      <c r="Q10" s="8"/>
      <c r="R10" s="9"/>
      <c r="S10" s="9"/>
    </row>
    <row r="11" spans="1:19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  <c r="P11" s="11"/>
      <c r="Q11" s="10"/>
      <c r="R11" s="11"/>
      <c r="S11" s="11"/>
    </row>
    <row r="12" spans="1:19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  <c r="Q12" s="7"/>
    </row>
    <row r="13" spans="1:19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  <c r="Q13" s="7"/>
    </row>
    <row r="14" spans="1:19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  <c r="Q14" s="7"/>
    </row>
    <row r="15" spans="1:19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  <c r="Q15" s="7"/>
    </row>
    <row r="16" spans="1:19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  <c r="Q16" s="7"/>
    </row>
    <row r="17" spans="1:28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Q17" s="7"/>
    </row>
    <row r="18" spans="1:28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  <c r="Q18" t="s">
        <v>59</v>
      </c>
      <c r="R18" t="s">
        <v>48</v>
      </c>
    </row>
    <row r="19" spans="1:28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  <c r="S19" t="s">
        <v>111</v>
      </c>
      <c r="T19" t="s">
        <v>50</v>
      </c>
      <c r="U19" t="s">
        <v>112</v>
      </c>
      <c r="V19" t="s">
        <v>52</v>
      </c>
    </row>
    <row r="20" spans="1:28" ht="14.25" thickBot="1" x14ac:dyDescent="0.2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  <c r="P20" s="9"/>
      <c r="Q20" t="s">
        <v>53</v>
      </c>
      <c r="R20" t="s">
        <v>113</v>
      </c>
      <c r="X20" t="s">
        <v>60</v>
      </c>
    </row>
    <row r="21" spans="1:28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  <c r="P21" s="11"/>
      <c r="Q21" t="s">
        <v>54</v>
      </c>
      <c r="R21" t="s">
        <v>114</v>
      </c>
      <c r="S21" s="12">
        <f>AVERAGE($D$6)</f>
        <v>4.6457219251336896</v>
      </c>
      <c r="T21" s="12">
        <f>AVERAGE($B$7:$B$10,$D$7,$B$13,$E$9,$E$13,$K$8,$K$9,$K$16,$M$7)</f>
        <v>15.71439042044959</v>
      </c>
      <c r="V21" s="12">
        <f>AVERAGE($B$7,$K$7)</f>
        <v>14.037647940612985</v>
      </c>
      <c r="X21" t="s">
        <v>61</v>
      </c>
      <c r="Y21" s="12">
        <f>_xlfn.STDEV.P($D$6)</f>
        <v>0</v>
      </c>
      <c r="Z21" s="12">
        <f>_xlfn.STDEV.P($B$7:$B$10,$D$7,$B$13,$E$9,$E$13,$K$8,$K$9,$K$16,$M$7)</f>
        <v>6.8658020911948769</v>
      </c>
      <c r="AB21" s="12">
        <f>_xlfn.STDEV.P($B$7,$K$7)</f>
        <v>0.6452186162239153</v>
      </c>
    </row>
    <row r="22" spans="1:28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Q22" t="s">
        <v>55</v>
      </c>
      <c r="R22" t="s">
        <v>115</v>
      </c>
      <c r="S22" s="12">
        <f>AVERAGE($B$4:$B$6,$D$4:$D$5,$I$6)</f>
        <v>9.5178319443666641</v>
      </c>
      <c r="T22" s="12">
        <f>AVERAGE($B$11:$B$12,$B$15:$B$16,$D$9,$D$11,$D$13,$D$15,$E$8,$E$10:$E$11,$E$14:$E$15,$F$8:$F$10,$F$16,$H$7:$H$11,$H$13,$H$15:$H$16,$K$7,$K$10:$K$15,$L$16,$M$8,$M$10,$M$12,$M$14:$M$16,)</f>
        <v>15.943012273166469</v>
      </c>
      <c r="U22" s="12">
        <f>AVERAGE($B$3,$D$3)</f>
        <v>8.9568755874498329</v>
      </c>
      <c r="V22" s="12">
        <f>AVERAGE($B$8:$B$9,$B$15:$B$16,$E$7:$F$9,$F$11,$E$13,$E$15:$F$16,$H$7,$H$9:$H$10,$H$14:$H$15,$K$8:$K$16,$L$15:$L$16,$M$13:$M$16,$M$7,$M$11,)</f>
        <v>16.873050209244241</v>
      </c>
      <c r="X22" t="s">
        <v>62</v>
      </c>
      <c r="Y22" s="12">
        <f>_xlfn.STDEV.P($B$4:$B$6,$D$4:$D$5,$I$6)</f>
        <v>4.3770472159456837</v>
      </c>
      <c r="Z22" s="12">
        <f>_xlfn.STDEV.P($B$11:$B$12,$B$15:$B$16,$D$9,$D$11,$D$13,$D$15,$E$8,$E$10:$E$11,$E$14:$E$15,$F$8:$F$10,$F$16,$H$7:$H$11,$H$13,$H$15:$H$16,$K$7,$K$10:$K$15,$L$16,$M$8,$M$10,$M$12,$M$14:$M$16,)</f>
        <v>6.1076835870428834</v>
      </c>
      <c r="AA22" s="12">
        <f>_xlfn.STDEV.P($B$3,$D$3)</f>
        <v>1.1733704328106547</v>
      </c>
      <c r="AB22" s="12">
        <f>_xlfn.STDEV.P($B$8:$B$9,$B$15:$B$16,$E$7:$F$9,$F$11,$E$13,$E$15:$F$16,$H$7,$H$9:$H$10,$H$14:$H$15,$K$8:$K$16,$L$15:$L$16,$M$13:$M$16,$M$7,$M$11,)</f>
        <v>6.7670806884886199</v>
      </c>
    </row>
    <row r="23" spans="1:28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  <c r="Q23" t="s">
        <v>56</v>
      </c>
      <c r="R23" t="s">
        <v>116</v>
      </c>
      <c r="S23" s="12">
        <f>AVERAGE($B$2:$B$3,$D$3,$C$5:$C$6,$E$6,$I$4:$I$5,$K$5:$K$6,$L$6)</f>
        <v>10.364245249949688</v>
      </c>
      <c r="T23" s="12">
        <f>AVERAGE($C$7:$C$16,$B$14,$D$8,$D$10,$D$12,$D$14,$D$16,$E$16,$E$12,$E$7,$F$7,$F$11:$F$15,$G$15,$H$12,$H$14,$I$7:$I$16,$L$9,$L$11:$L$15,$M$9,$M$11,$M$13,$N$7:$N$13,$O$7:$O$16,$N$15:$N$16)</f>
        <v>11.758044578719737</v>
      </c>
      <c r="U23" s="12">
        <f>AVERAGE($B$4:$B$6,$C$5,$D$6,$F$4,$F$6,$I$3:$I$6,$K$5:$K$6,$M$5,$N$6)</f>
        <v>9.2539310883531929</v>
      </c>
      <c r="V23" s="12">
        <f>AVERAGE($B$10:$B$14,$C$7:$C$16,$D$12,$D$15,$E$10:$E$12,$E$14,$F$10,$F$12:$F$14,$G$15,$H$8,$H$11:$H$13,$H$16,$I$7:$I$16,$J$8,$L$13:$L$14,$M$8:$M$10,$N$10,$N$12,$N$14,$O$7:$O$16,)</f>
        <v>12.023992658297518</v>
      </c>
      <c r="X23" t="s">
        <v>63</v>
      </c>
      <c r="Y23" s="12">
        <f>_xlfn.STDEV.P($B$2:$B$3,$D$3,$C$5:$C$6,$E$6,$I$4:$I$5,$K$5:$K$6,$L$6)</f>
        <v>3.2147609857590096</v>
      </c>
      <c r="Z23" s="12">
        <f>_xlfn.STDEV.P($C$7:$C$16,$B$14,$D$8,$D$10,$D$12,$D$14,$D$16,$E$16,$E$12,$E$7,$F$7,$F$11:$F$15,$G$15,$H$12,$H$14,$I$7:$I$16,$L$9,$L$11:$L$15,$M$9,$M$11,$M$13,$N$7:$N$13,$O$7:$O$16,$N$15:$N$16)</f>
        <v>6.1486685037937487</v>
      </c>
      <c r="AA23" s="12">
        <f>_xlfn.STDEV.P($B$4:$B$6,$C$5,$D$6,$F$4,$F$6,$I$3:$I$6,$K$5:$K$6,$M$5,$N$6)</f>
        <v>4.1298489631679915</v>
      </c>
      <c r="AB23" s="12">
        <f>_xlfn.STDEV.P($B$10:$B$14,$C$7:$C$16,$D$12,$D$15,$E$10:$E$12,$E$14,$F$10,$F$12:$F$14,$G$15,$H$8,$H$11:$H$13,$H$16,$I$7:$I$16,$J$8,$L$13:$L$14,$M$8:$M$10,$N$10,$N$12,$N$14,$O$7:$O$16,)</f>
        <v>6.4772494647050305</v>
      </c>
    </row>
    <row r="24" spans="1:28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  <c r="Q24" t="s">
        <v>57</v>
      </c>
      <c r="R24" t="s">
        <v>117</v>
      </c>
      <c r="S24" s="12">
        <f>AVERAGE($C$2:$C$4,$D$2,$E$2:$E$5,$F$2:$F$6,$G$2:$G$6,$H$2:$H$6,$I$2:$I$3,$J$2:$J$6,$K$2:$K$4,$L$2:$L$5,$M$2:$M$6,$N$2:$N$6,$O$2:$O$6)</f>
        <v>9.9621493293864596</v>
      </c>
      <c r="T24" s="12">
        <f>AVERAGE($G$7:$G$14,$J$7:$J$16,$L$7:$L$8,$L$10,$N$14,)</f>
        <v>9.4954319378741339</v>
      </c>
      <c r="U24" s="12">
        <f>AVERAGE($B$2:$O$2,$C$3:$C$4,$C$6,$D$4,$E$3:$E$6,$D$5,$F$3,$F$5,$G$3:$H$6,$J$3:$J$6,$K$3:$K$4,$L$3:$L$6,$M$3:$O$4,$N$5:$O$5,$O$6,$M$6,)</f>
        <v>9.9457122031236764</v>
      </c>
      <c r="V24" s="12">
        <f>AVERAGE($D$7:$D$11,$D$13:$D$14,$D$16,$G$7:$G$14,$G$16,$J$7,$J$9:$J$16,$L$7:$L$12,$M$12,$N$7:$N$9,$N$11,$N$13,$N$15:$N$16,)</f>
        <v>9.9226579781879511</v>
      </c>
      <c r="X24" t="s">
        <v>64</v>
      </c>
      <c r="Y24" s="12">
        <f>_xlfn.STDEV.P($C$2:$C$4,$D$2,$E$2:$E$5,$F$2:$F$6,$G$2:$G$6,$H$2:$H$6,$I$2:$I$3,$J$2:$J$6,$K$2:$K$4,$L$2:$L$5,$M$2:$M$6,$N$2:$N$6,$O$2:$O$6)</f>
        <v>3.3651677051330493</v>
      </c>
      <c r="Z24" s="12">
        <f>_xlfn.STDEV.P($G$7:$G$14,$J$7:$J$16,$L$7:$L$8,$L$10,$N$14,)</f>
        <v>4.3293693222021847</v>
      </c>
      <c r="AA24" s="12">
        <f>_xlfn.STDEV.P($B$2:$O$2,$C$3:$C$4,$C$6,$D$4,$E$3:$E$6,$D$5,$F$3,$F$5,$G$3:$H$6,$J$3:$J$6,$K$3:$K$4,$L$3:$L$6,$M$3:$O$4,$N$5:$O$5,$O$6,$M$6,)</f>
        <v>3.5481432695379902</v>
      </c>
      <c r="AB24" s="12">
        <f>_xlfn.STDEV.P($D$7:$D$11,$D$13:$D$14,$D$16,$G$7:$G$14,$G$16,$J$7,$J$9:$J$16,$L$7:$L$12,$M$12,$N$7:$N$9,$N$11,$N$13,$N$15:$N$16,)</f>
        <v>3.9695089032141415</v>
      </c>
    </row>
    <row r="25" spans="1:28" ht="14.25" thickBot="1" x14ac:dyDescent="0.2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  <c r="P25" s="9"/>
    </row>
    <row r="26" spans="1:28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28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28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  <c r="R28" t="s">
        <v>58</v>
      </c>
    </row>
    <row r="29" spans="1:28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  <c r="S29" t="s">
        <v>111</v>
      </c>
      <c r="T29" t="s">
        <v>50</v>
      </c>
      <c r="U29" t="s">
        <v>112</v>
      </c>
      <c r="V29" t="s">
        <v>52</v>
      </c>
    </row>
    <row r="30" spans="1:28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Q30" t="s">
        <v>53</v>
      </c>
      <c r="R30" t="s">
        <v>113</v>
      </c>
      <c r="T30" s="12">
        <f>AVERAGE($B$30:$B$31,$I$30,$K$31,$M$22:$M$23,)</f>
        <v>14.918236681922115</v>
      </c>
      <c r="U30" s="12">
        <f>AVERAGE($I$21)</f>
        <v>10.05167958656331</v>
      </c>
      <c r="V30" s="12">
        <f>AVERAGE($B$30,$K$30,)</f>
        <v>18.95308006233163</v>
      </c>
      <c r="X30" t="s">
        <v>60</v>
      </c>
      <c r="Z30" s="12">
        <f>_xlfn.STDEV.P($B$30:$B$31,$I$30,$K$31,$M$22:$M$23,)</f>
        <v>10.21754600827677</v>
      </c>
      <c r="AA30" s="12">
        <f>_xlfn.STDEV.P($I$21)</f>
        <v>0</v>
      </c>
      <c r="AB30" s="12">
        <f>_xlfn.STDEV.P($B$30,$K$30,)</f>
        <v>14.696247232055764</v>
      </c>
    </row>
    <row r="31" spans="1:28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54</v>
      </c>
      <c r="R31" t="s">
        <v>114</v>
      </c>
      <c r="S31" s="12">
        <f>AVERAGE($B$17,$B$21,$D$21)</f>
        <v>41.804947683585773</v>
      </c>
      <c r="T31" s="12">
        <f>AVERAGE($B$26,$B$28:$B$29,$D$22:$D$24,$D$26,$D$28,$C$30:$D$31,$E$31,$I$26,$I$28,$I$31,$K$30,$M$30:$M$31,$M$24,$O$31,$M$25,$M$28,$M$26:$M$27,)</f>
        <v>23.280876083764038</v>
      </c>
      <c r="U31" s="12">
        <f>AVERAGE($B$20,$D$21:$E$21,$K$21,)</f>
        <v>37.193058167831744</v>
      </c>
      <c r="V31" s="12">
        <f>AVERAGE($B$28,$B$31,$C$30:$E$30,$C$31,$H$31:$I$31,$I$30,$K$29,$K$31,$M$24:$M$27,$N$30:$O$30,)</f>
        <v>25.054865551099216</v>
      </c>
      <c r="X31" t="s">
        <v>61</v>
      </c>
      <c r="Y31" s="12">
        <f>_xlfn.STDEV.P($B$17,$B$21,$D$21)</f>
        <v>13.130080010281272</v>
      </c>
      <c r="Z31" s="12">
        <f>_xlfn.STDEV.P($B$26,$B$28:$B$29,$D$22:$D$24,$D$26,$D$28,$C$30:$D$31,$E$31,$I$26,$I$28,$I$31,$K$30,$M$30:$M$31,$M$24,$O$31,$M$25,$M$28,$M$26:$M$27,)</f>
        <v>12.681431910871705</v>
      </c>
      <c r="AA31" s="12">
        <f>_xlfn.STDEV.P($B$20,$D$21:$E$21,$K$21,)</f>
        <v>20.161708103803086</v>
      </c>
      <c r="AB31" s="12">
        <f>_xlfn.STDEV.P($B$28,$B$31,$C$30:$E$30,$C$31,$H$31:$I$31,$I$30,$K$29,$K$31,$M$24:$M$27,$N$30:$O$30,)</f>
        <v>16.727100015146281</v>
      </c>
    </row>
    <row r="32" spans="1:28" x14ac:dyDescent="0.15">
      <c r="Q32" t="s">
        <v>55</v>
      </c>
      <c r="R32" t="s">
        <v>115</v>
      </c>
      <c r="S32" s="12">
        <f>AVERAGE($B$19:$B$20,$D$20,$D$18,$E$21,$I$21,$K$21,)</f>
        <v>30.9120929495569</v>
      </c>
      <c r="T32" s="12">
        <f>AVERAGE($B$22:$B$25,$C$22,$C$28:$C$29,$D$25,$D$27,$D$29,$H$22:$I$22,$I$24,$I$27,$N$28,$K$28:$L$28,$K$29,$M$29,$H$28,$I$29,$H$30:$H$31,$K$22:$K$23,$L$30:$L$31,$N$30:$N$31,$O$30,)</f>
        <v>25.915540751954993</v>
      </c>
      <c r="U32" s="12">
        <f>AVERAGE($B$18:$B$19,$B$21,$D$17,$E$20,$F$21,$I$19:$I$20,$K$19:$K$20,)</f>
        <v>25.885903806619385</v>
      </c>
      <c r="V32" s="12">
        <f>AVERAGE($B$24:$B$25,$B$27,$B$29,$C$28:$C$29,$D$24:$D$26,$D$31:$F$31,$F$30,$F$26,$H$27,$H$29:$H$30,$I$25:$I$29,$K$22:$K$23,$K$27:$K$28,$L$24,$L$26:$L$28,$L$30:$L$31,$M$28:$M$31,$N$22,$N$25:$N$26,$N$28,$N$31:$O$31,)</f>
        <v>25.505304445249305</v>
      </c>
      <c r="X32" t="s">
        <v>62</v>
      </c>
      <c r="Y32" s="12">
        <f>_xlfn.STDEV.P($B$19:$B$20,$D$20,$D$18,$E$21,$I$21,$K$21,)</f>
        <v>17.837104994937945</v>
      </c>
      <c r="Z32" s="12">
        <f>_xlfn.STDEV.P($B$22:$B$25,$C$22,$C$28:$C$29,$D$25,$D$27,$D$29,$H$22:$I$22,$I$24,$I$27,$N$28,$K$28:$L$28,$K$29,$M$29,$H$28,$I$29,$H$30:$H$31,$K$22:$K$23,$L$30:$L$31,$N$30:$N$31,$O$30,)</f>
        <v>13.822628572470176</v>
      </c>
      <c r="AA32" s="12">
        <f>_xlfn.STDEV.P($B$18:$B$19,$B$21,$D$17,$E$20,$F$21,$I$19:$I$20,$K$19:$K$20,)</f>
        <v>15.78996640778473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13.059103938567604</v>
      </c>
    </row>
    <row r="33" spans="1:28" x14ac:dyDescent="0.15">
      <c r="A33" s="2" t="s">
        <v>44</v>
      </c>
      <c r="Q33" t="s">
        <v>56</v>
      </c>
      <c r="R33" t="s">
        <v>116</v>
      </c>
      <c r="S33" s="12">
        <f>AVERAGE($D$17,$B$18,$C$21,$D$19,$E$19:$E$20,$F$20:$F$21,$I$20,$N$17:$N$21,$L$20:$M$21,$O$21,)</f>
        <v>28.095323485159735</v>
      </c>
      <c r="T33" s="12">
        <f>AVERAGE($B$27,$C$23:$C$27,$E$22,$E$26,$E$28,$E$30,$F$22:$F$30,$G$22:$G$24,$F$31,$G$26,$G$28,$G$30:$G$31,$H$23:$H$24,$H$27,$H$29,$I$23,$I$25,$K$24:$K$27,$L$22:$L$27,$L$29,$N$22:$N$27,$O$22:$O$29,$N$29)</f>
        <v>29.561893420156036</v>
      </c>
      <c r="U33" s="12">
        <f>AVERAGE($C$21,$D$19:$D$20,$F$19:$F$20,$G$21:$H$21,$I$17:$J$17,$N$17,$L$19:$N$21,$O$20:$O$21,)</f>
        <v>26.676861108638015</v>
      </c>
      <c r="V33" s="12">
        <f>AVERAGE($B$22:$B$23,$B$26,$C$22:$C$27,$D$22,$D$27,$D$29,$F$22:$F$25,$F$27:$F$29,$G$22,$G$26:$H$26,$G$28:$G$31,$H$28,$H$22:$H$23,$I$22:$I$24,$J$31,$K$24:$K$26,$L$25,$L$29,$L$22:$M$23,$N$23:$N$24,$O$22:$O$25,$N$27:$O$27,$O$28:$O$29,$N$29,)</f>
        <v>27.495647193209351</v>
      </c>
      <c r="X33" t="s">
        <v>63</v>
      </c>
      <c r="Y33" s="12">
        <f>_xlfn.STDEV.P($D$17,$B$18,$C$21,$D$19,$E$19:$E$20,$F$20:$F$21,$I$20,$N$17:$N$21,$L$20:$M$21,$O$21,)</f>
        <v>11.449025384329159</v>
      </c>
      <c r="Z33" s="12">
        <f>_xlfn.STDEV.P($B$27,$C$23:$C$27,$E$22,$E$26,$E$28,$E$30,$F$22:$F$30,$G$22:$G$24,$F$31,$G$26,$G$28,$G$30:$G$31,$H$23:$H$24,$H$27,$H$29,$I$23,$I$25,$K$24:$K$27,$L$22:$L$27,$L$29,$N$22:$N$27,$O$22:$O$29,$N$29)</f>
        <v>9.9716943458124749</v>
      </c>
      <c r="AA33" s="12">
        <f>_xlfn.STDEV.P($C$21,$D$19:$D$20,$F$19:$F$20,$G$21:$H$21,$I$17:$J$17,$N$17,$L$19:$N$21,$O$20:$O$21,)</f>
        <v>14.258906410472907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9.7978437402395251</v>
      </c>
    </row>
    <row r="34" spans="1:28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 t="s">
        <v>57</v>
      </c>
      <c r="R34" t="s">
        <v>117</v>
      </c>
      <c r="S34" s="12">
        <f>AVERAGE($C$17:$C$20,$E$17:$E$18,$F$17:$F$19,$G$17:$H$21,$I$17:$I$19,$J$17:$J$21,$K$17:$K$20,$L$17:$M$19,$O$17:$O$20,)</f>
        <v>18.416554728953653</v>
      </c>
      <c r="T34" s="12">
        <f>AVERAGE($E$23:$E$25,$E$27,$E$29,$G$25,$G$27,$G$29,$H$25:$H$26,$J$22:$J$31)</f>
        <v>32.730953972532795</v>
      </c>
      <c r="U34" s="12">
        <f>AVERAGE($B$17:$C$17,$C$18:$C$20,$D$18:$H$18,$E$17:$H$17,$E$19,$G$19:$H$20,$I$18,$J$18:$J$21,$K$17:$M$18,$N$18,$O$17:$O$19,)</f>
        <v>18.298871379368272</v>
      </c>
      <c r="V34" s="12">
        <f>AVERAGE($D$23,$D$28,$E$22:$E$29,$G$23:$G$25,$G$27,$H$24:$H$25,$J$22:$J$30,$O$26,)</f>
        <v>30.464560363554845</v>
      </c>
      <c r="X34" t="s">
        <v>64</v>
      </c>
      <c r="Y34" s="12">
        <f>_xlfn.STDEV.P($C$17:$C$20,$E$17:$E$18,$F$17:$F$19,$G$17:$H$21,$I$17:$I$19,$J$17:$J$21,$K$17:$K$20,$L$17:$M$19,$O$17:$O$20,)</f>
        <v>11.061653805214194</v>
      </c>
      <c r="Z34" s="12">
        <f>_xlfn.STDEV.P($E$23:$E$25,$E$27,$E$29,$G$25,$G$27,$G$29,$H$25:$H$26,$J$22:$J$31)</f>
        <v>6.3309428761678177</v>
      </c>
      <c r="AA34" s="12">
        <f>_xlfn.STDEV.P($B$17:$C$17,$C$18:$C$20,$D$18:$H$18,$E$17:$H$17,$E$19,$G$19:$H$20,$I$18,$J$18:$J$21,$K$17:$M$18,$N$18,$O$17:$O$19,)</f>
        <v>8.8318848835849852</v>
      </c>
      <c r="AB34" s="12">
        <f>_xlfn.STDEV.P($D$23,$D$28,$E$22:$E$29,$G$23:$G$25,$G$27,$H$24:$H$25,$J$22:$J$30,$O$26,)</f>
        <v>9.672761992465162</v>
      </c>
    </row>
    <row r="35" spans="1:28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</row>
    <row r="36" spans="1:28" x14ac:dyDescent="0.15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s="6"/>
      <c r="Q36" s="5"/>
      <c r="R36" s="6"/>
      <c r="S36" s="6"/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15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530-D1CA-4CD0-9DA9-0C5B32D19717}">
  <dimension ref="A1:EK102"/>
  <sheetViews>
    <sheetView topLeftCell="AA28" zoomScaleNormal="100" workbookViewId="0">
      <selection activeCell="AJ50" sqref="AJ50"/>
    </sheetView>
  </sheetViews>
  <sheetFormatPr defaultRowHeight="13.5" x14ac:dyDescent="0.15"/>
  <cols>
    <col min="19" max="19" width="12.75" bestFit="1" customWidth="1"/>
    <col min="22" max="22" width="12.75" bestFit="1" customWidth="1"/>
    <col min="23" max="23" width="12.75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14.754098360655741</v>
      </c>
      <c r="C2" s="6">
        <v>13.35820895522388</v>
      </c>
      <c r="D2" s="6">
        <v>7.8761542639869626</v>
      </c>
      <c r="E2" s="6">
        <v>18.643132928847219</v>
      </c>
      <c r="F2" s="6">
        <v>11.93921852387844</v>
      </c>
      <c r="G2" s="6">
        <v>9.1684434968017072</v>
      </c>
      <c r="H2" s="6">
        <v>7.3499662845583273</v>
      </c>
      <c r="I2" s="6">
        <v>3.5911602209944751</v>
      </c>
      <c r="J2" s="6">
        <v>14.710365853658541</v>
      </c>
      <c r="K2" s="6">
        <v>13.42443729903537</v>
      </c>
      <c r="L2" s="6">
        <v>14.023591087811271</v>
      </c>
      <c r="M2" s="6">
        <v>10.237319683573761</v>
      </c>
      <c r="N2" s="6">
        <v>4.4753086419753094</v>
      </c>
      <c r="O2" s="6">
        <v>9.3117408906882595</v>
      </c>
      <c r="P2">
        <v>7.7835051546391751</v>
      </c>
      <c r="Q2">
        <v>11.760513186029939</v>
      </c>
      <c r="R2">
        <v>10.13024602026049</v>
      </c>
      <c r="S2">
        <v>11.121764141898369</v>
      </c>
      <c r="T2">
        <v>12.101910828025479</v>
      </c>
      <c r="U2">
        <v>10.658307210031349</v>
      </c>
      <c r="V2">
        <v>12.233375156838139</v>
      </c>
      <c r="W2">
        <v>6.5454545454545459</v>
      </c>
      <c r="X2">
        <v>8.9743589743589745</v>
      </c>
      <c r="Y2">
        <v>7.7815699658703066</v>
      </c>
      <c r="Z2">
        <v>10.15625</v>
      </c>
      <c r="AA2">
        <v>4.4154540893125942</v>
      </c>
      <c r="AB2">
        <v>6.5789473684210522</v>
      </c>
      <c r="AC2">
        <v>6.412698412698413</v>
      </c>
      <c r="AD2">
        <v>15.526992287917739</v>
      </c>
      <c r="AE2">
        <v>9.4885100074128985</v>
      </c>
      <c r="AF2">
        <v>8.4260731319554854</v>
      </c>
      <c r="AG2">
        <v>11.670235546038541</v>
      </c>
      <c r="AH2">
        <v>12.90527654164018</v>
      </c>
      <c r="AI2">
        <v>11.33333333333333</v>
      </c>
      <c r="AJ2">
        <v>12.82740094022834</v>
      </c>
      <c r="AK2">
        <v>6.2755798090040944</v>
      </c>
      <c r="AL2">
        <v>5.878378378378379</v>
      </c>
      <c r="AM2">
        <v>12.826249067859809</v>
      </c>
      <c r="AN2">
        <v>9.6600107933081496</v>
      </c>
      <c r="AO2">
        <v>5.0713153724247224</v>
      </c>
      <c r="AP2">
        <v>6.4427690198766276</v>
      </c>
      <c r="AQ2">
        <v>10.544217687074831</v>
      </c>
      <c r="AR2">
        <v>12.8537170263789</v>
      </c>
      <c r="AS2">
        <v>17.109826589595379</v>
      </c>
      <c r="AT2">
        <v>7.2635135135135132</v>
      </c>
      <c r="AU2">
        <v>17.153434800493621</v>
      </c>
      <c r="AV2">
        <v>15.62137049941928</v>
      </c>
      <c r="AW2">
        <v>13.35423197492163</v>
      </c>
      <c r="AX2">
        <v>7.8324225865209467</v>
      </c>
      <c r="AY2">
        <v>7.1350762527233114</v>
      </c>
      <c r="AZ2">
        <v>14.285714285714279</v>
      </c>
      <c r="BA2">
        <v>11.676451402478801</v>
      </c>
      <c r="BB2">
        <v>9.7018457169900607</v>
      </c>
      <c r="BC2">
        <v>5.2078356426182513</v>
      </c>
      <c r="BD2">
        <v>10.52631578947368</v>
      </c>
      <c r="BE2">
        <v>10.559006211180121</v>
      </c>
      <c r="BF2">
        <v>11.17911056711546</v>
      </c>
      <c r="BG2">
        <v>9.6972563859981076</v>
      </c>
      <c r="BH2">
        <v>4.6457219251336896</v>
      </c>
      <c r="BI2">
        <v>12.012644889357221</v>
      </c>
      <c r="BJ2">
        <v>8.4392014519056264</v>
      </c>
      <c r="BK2">
        <v>6.9381598793363501</v>
      </c>
      <c r="BL2">
        <v>12.94964028776978</v>
      </c>
      <c r="BM2">
        <v>1.8575851393188849</v>
      </c>
      <c r="BN2">
        <v>6.024096385542169</v>
      </c>
      <c r="BO2">
        <v>10.253998118532451</v>
      </c>
      <c r="BP2">
        <v>7.1780147662018052</v>
      </c>
      <c r="BQ2">
        <v>9.6074380165289259</v>
      </c>
      <c r="BR2">
        <v>7.1971390254805554</v>
      </c>
      <c r="BS2">
        <v>7.1365638766519828</v>
      </c>
    </row>
    <row r="3" spans="1:141" x14ac:dyDescent="0.15">
      <c r="A3" s="1" t="s">
        <v>15</v>
      </c>
      <c r="B3" s="7">
        <v>7.7835051546391751</v>
      </c>
      <c r="C3">
        <v>11.760513186029939</v>
      </c>
      <c r="D3">
        <v>10.13024602026049</v>
      </c>
      <c r="E3">
        <v>11.121764141898369</v>
      </c>
      <c r="F3">
        <v>12.101910828025479</v>
      </c>
      <c r="G3">
        <v>10.658307210031349</v>
      </c>
      <c r="H3">
        <v>12.233375156838139</v>
      </c>
      <c r="I3">
        <v>6.5454545454545459</v>
      </c>
      <c r="J3">
        <v>8.9743589743589745</v>
      </c>
      <c r="K3">
        <v>7.7815699658703066</v>
      </c>
      <c r="L3">
        <v>10.15625</v>
      </c>
      <c r="M3">
        <v>4.4154540893125942</v>
      </c>
      <c r="N3">
        <v>6.5789473684210522</v>
      </c>
      <c r="O3">
        <v>6.412698412698413</v>
      </c>
    </row>
    <row r="4" spans="1:141" x14ac:dyDescent="0.15">
      <c r="A4" s="1" t="s">
        <v>16</v>
      </c>
      <c r="B4" s="7">
        <v>15.526992287917739</v>
      </c>
      <c r="C4">
        <v>9.4885100074128985</v>
      </c>
      <c r="D4">
        <v>8.4260731319554854</v>
      </c>
      <c r="E4">
        <v>11.670235546038541</v>
      </c>
      <c r="F4">
        <v>12.90527654164018</v>
      </c>
      <c r="G4">
        <v>11.33333333333333</v>
      </c>
      <c r="H4">
        <v>12.82740094022834</v>
      </c>
      <c r="I4">
        <v>6.2755798090040944</v>
      </c>
      <c r="J4">
        <v>5.878378378378379</v>
      </c>
      <c r="K4">
        <v>12.826249067859809</v>
      </c>
      <c r="L4">
        <v>9.6600107933081496</v>
      </c>
      <c r="M4">
        <v>5.0713153724247224</v>
      </c>
      <c r="N4">
        <v>6.4427690198766276</v>
      </c>
      <c r="O4">
        <v>10.544217687074831</v>
      </c>
    </row>
    <row r="5" spans="1:141" x14ac:dyDescent="0.15">
      <c r="A5" s="1" t="s">
        <v>17</v>
      </c>
      <c r="B5" s="7">
        <v>12.8537170263789</v>
      </c>
      <c r="C5">
        <v>17.109826589595379</v>
      </c>
      <c r="D5">
        <v>7.2635135135135132</v>
      </c>
      <c r="E5">
        <v>17.153434800493621</v>
      </c>
      <c r="F5">
        <v>15.62137049941928</v>
      </c>
      <c r="G5">
        <v>13.35423197492163</v>
      </c>
      <c r="H5">
        <v>7.8324225865209467</v>
      </c>
      <c r="I5">
        <v>7.1350762527233114</v>
      </c>
      <c r="J5">
        <v>14.285714285714279</v>
      </c>
      <c r="K5">
        <v>11.676451402478801</v>
      </c>
      <c r="L5">
        <v>9.7018457169900607</v>
      </c>
      <c r="M5">
        <v>5.2078356426182513</v>
      </c>
      <c r="N5">
        <v>10.52631578947368</v>
      </c>
      <c r="O5">
        <v>10.559006211180121</v>
      </c>
    </row>
    <row r="6" spans="1:141" ht="14.25" thickBot="1" x14ac:dyDescent="0.2">
      <c r="A6" s="1" t="s">
        <v>18</v>
      </c>
      <c r="B6" s="8">
        <v>11.17911056711546</v>
      </c>
      <c r="C6" s="9">
        <v>9.6972563859981076</v>
      </c>
      <c r="D6" s="9">
        <v>4.6457219251336896</v>
      </c>
      <c r="E6" s="9">
        <v>12.012644889357221</v>
      </c>
      <c r="F6" s="9">
        <v>8.4392014519056264</v>
      </c>
      <c r="G6" s="9">
        <v>6.9381598793363501</v>
      </c>
      <c r="H6" s="9">
        <v>12.94964028776978</v>
      </c>
      <c r="I6" s="9">
        <v>1.8575851393188849</v>
      </c>
      <c r="J6" s="9">
        <v>6.024096385542169</v>
      </c>
      <c r="K6" s="9">
        <v>10.253998118532451</v>
      </c>
      <c r="L6" s="9">
        <v>7.1780147662018052</v>
      </c>
      <c r="M6" s="9">
        <v>9.6074380165289259</v>
      </c>
      <c r="N6" s="9">
        <v>7.1971390254805554</v>
      </c>
      <c r="O6" s="9">
        <v>7.1365638766519828</v>
      </c>
    </row>
    <row r="7" spans="1:141" x14ac:dyDescent="0.15">
      <c r="A7" s="1" t="s">
        <v>19</v>
      </c>
      <c r="B7" s="10">
        <v>14.682866556836901</v>
      </c>
      <c r="C7" s="11">
        <v>8.1129653401797182</v>
      </c>
      <c r="D7" s="11">
        <v>11.14452798663325</v>
      </c>
      <c r="E7" s="11">
        <v>25.365378369600521</v>
      </c>
      <c r="F7" s="11">
        <v>17.78011572856391</v>
      </c>
      <c r="G7" s="11">
        <v>5.3884383991629612</v>
      </c>
      <c r="H7" s="11">
        <v>17.36139214892756</v>
      </c>
      <c r="I7" s="11">
        <v>4.1098064106632819</v>
      </c>
      <c r="J7" s="11">
        <v>8.0990456538560736</v>
      </c>
      <c r="K7" s="11">
        <v>13.39242932438907</v>
      </c>
      <c r="L7" s="11">
        <v>13.73742101567985</v>
      </c>
      <c r="M7" s="11">
        <v>20.311660397635681</v>
      </c>
      <c r="N7" s="11">
        <v>9.4825250609590892</v>
      </c>
      <c r="O7" s="11">
        <v>11.98089700996678</v>
      </c>
      <c r="P7">
        <v>13.219829744616931</v>
      </c>
      <c r="Q7">
        <v>9.330078654732846</v>
      </c>
      <c r="R7">
        <v>7.1665043816942564</v>
      </c>
      <c r="S7">
        <v>26.82390565660603</v>
      </c>
      <c r="T7">
        <v>16.0985487681404</v>
      </c>
      <c r="U7">
        <v>6.462140992167102</v>
      </c>
      <c r="V7">
        <v>15.68477429227238</v>
      </c>
      <c r="W7">
        <v>4.7716428084526248</v>
      </c>
      <c r="X7">
        <v>12.19387755102041</v>
      </c>
      <c r="Y7">
        <v>12.27317716925107</v>
      </c>
      <c r="Z7">
        <v>12.02891068662881</v>
      </c>
      <c r="AA7">
        <v>18.980061349693251</v>
      </c>
      <c r="AB7">
        <v>10.070257611241219</v>
      </c>
      <c r="AC7">
        <v>8.865153538050734</v>
      </c>
      <c r="AD7">
        <v>13.698630136986299</v>
      </c>
      <c r="AE7">
        <v>8.6773794808405444</v>
      </c>
      <c r="AF7">
        <v>13.30166270783848</v>
      </c>
      <c r="AG7">
        <v>27.354507068110891</v>
      </c>
      <c r="AH7">
        <v>17.68277257778902</v>
      </c>
      <c r="AI7">
        <v>7.4837027379400256</v>
      </c>
      <c r="AJ7">
        <v>20.834872552641301</v>
      </c>
      <c r="AK7">
        <v>4.2492412069273344</v>
      </c>
      <c r="AL7">
        <v>11.21825023518344</v>
      </c>
      <c r="AM7">
        <v>9.4483389210606514</v>
      </c>
      <c r="AN7">
        <v>10.69090909090909</v>
      </c>
      <c r="AO7">
        <v>18.198747249026582</v>
      </c>
      <c r="AP7">
        <v>11.35636596289187</v>
      </c>
      <c r="AQ7">
        <v>10.80358847108227</v>
      </c>
      <c r="AR7">
        <v>17.372262773722628</v>
      </c>
      <c r="AS7">
        <v>4.4077134986225897</v>
      </c>
      <c r="AT7">
        <v>10.57176196032672</v>
      </c>
      <c r="AU7">
        <v>26.401299756295689</v>
      </c>
      <c r="AV7">
        <v>11.704834605597959</v>
      </c>
      <c r="AW7">
        <v>4.4144144144144146</v>
      </c>
      <c r="AX7">
        <v>24.13653807311654</v>
      </c>
      <c r="AY7">
        <v>3.195985208663497</v>
      </c>
      <c r="AZ7">
        <v>10.32008830022075</v>
      </c>
      <c r="BA7">
        <v>12.46342890579286</v>
      </c>
      <c r="BB7">
        <v>9.7632349028997076</v>
      </c>
      <c r="BC7">
        <v>17.353710034184601</v>
      </c>
      <c r="BD7">
        <v>12.283950617283949</v>
      </c>
      <c r="BE7">
        <v>11.808191808191809</v>
      </c>
      <c r="BF7">
        <v>16.476964769647701</v>
      </c>
      <c r="BG7">
        <v>7.2773699329715944</v>
      </c>
      <c r="BH7">
        <v>7.398409893992933</v>
      </c>
      <c r="BI7">
        <v>24.617557072252289</v>
      </c>
      <c r="BJ7">
        <v>18.910741301059002</v>
      </c>
      <c r="BK7">
        <v>4.9951659684176608</v>
      </c>
      <c r="BL7">
        <v>17.726929846618049</v>
      </c>
      <c r="BM7">
        <v>3.4872298624754419</v>
      </c>
      <c r="BN7">
        <v>16.265452179570591</v>
      </c>
      <c r="BO7">
        <v>16.547749725576288</v>
      </c>
      <c r="BP7">
        <v>13.34375814438363</v>
      </c>
      <c r="BQ7">
        <v>23.633195382269658</v>
      </c>
      <c r="BR7">
        <v>13.077713111947959</v>
      </c>
      <c r="BS7">
        <v>12.387436854821001</v>
      </c>
      <c r="BT7">
        <v>15.05195169896097</v>
      </c>
      <c r="BU7">
        <v>3.545359749739311</v>
      </c>
      <c r="BV7">
        <v>10.335265944038319</v>
      </c>
      <c r="BW7">
        <v>25.242504409171069</v>
      </c>
      <c r="BX7">
        <v>12.48646697942981</v>
      </c>
      <c r="BY7">
        <v>3.909726636999364</v>
      </c>
      <c r="BZ7">
        <v>20.0887355188563</v>
      </c>
      <c r="CA7">
        <v>2.7642276422764231</v>
      </c>
      <c r="CB7">
        <v>14.78260869565217</v>
      </c>
      <c r="CC7">
        <v>13.36032388663968</v>
      </c>
      <c r="CD7">
        <v>7.4302575107296143</v>
      </c>
      <c r="CE7">
        <v>21.423603060514719</v>
      </c>
      <c r="CF7">
        <v>12.12898497618175</v>
      </c>
      <c r="CG7">
        <v>11.00489624621124</v>
      </c>
      <c r="CH7">
        <v>11.188251001335111</v>
      </c>
      <c r="CI7">
        <v>5.8515042782224684</v>
      </c>
      <c r="CJ7">
        <v>9.804347826086957</v>
      </c>
      <c r="CK7">
        <v>30.80670303975058</v>
      </c>
      <c r="CL7">
        <v>18.17910447761194</v>
      </c>
      <c r="CM7">
        <v>8.1858407079646014</v>
      </c>
      <c r="CN7">
        <v>21.44904873599166</v>
      </c>
      <c r="CO7">
        <v>4.534313725490196</v>
      </c>
      <c r="CP7">
        <v>12.783075089392129</v>
      </c>
      <c r="CQ7">
        <v>8.7381607088298203</v>
      </c>
      <c r="CR7">
        <v>12.023529411764709</v>
      </c>
      <c r="CS7">
        <v>24.94547894648549</v>
      </c>
      <c r="CT7">
        <v>12.14984812689841</v>
      </c>
      <c r="CU7">
        <v>20.60580204778157</v>
      </c>
      <c r="CV7">
        <v>12.153407618554031</v>
      </c>
      <c r="CW7">
        <v>8.6577571179546773</v>
      </c>
      <c r="CX7">
        <v>7.0447110141766629</v>
      </c>
      <c r="CY7">
        <v>24.726435016317911</v>
      </c>
      <c r="CZ7">
        <v>15.02051120227201</v>
      </c>
      <c r="DA7">
        <v>5.1005950694247657</v>
      </c>
      <c r="DB7">
        <v>27.603121516165</v>
      </c>
      <c r="DC7">
        <v>8.8649756597489109</v>
      </c>
      <c r="DD7">
        <v>11.36922656463515</v>
      </c>
      <c r="DE7">
        <v>6.8748288140235552</v>
      </c>
      <c r="DF7">
        <v>10.5831085287404</v>
      </c>
      <c r="DG7">
        <v>27.516883932778391</v>
      </c>
      <c r="DH7">
        <v>18.209450124343739</v>
      </c>
      <c r="DI7">
        <v>19.654822335025379</v>
      </c>
      <c r="DJ7">
        <v>13.256006628003311</v>
      </c>
      <c r="DK7">
        <v>6.0777749163018289</v>
      </c>
      <c r="DL7">
        <v>6.8351613415991093</v>
      </c>
      <c r="DM7">
        <v>19.634561783833998</v>
      </c>
      <c r="DN7">
        <v>15.89661482159195</v>
      </c>
      <c r="DO7">
        <v>5.5304497525285132</v>
      </c>
      <c r="DP7">
        <v>16.223559091791191</v>
      </c>
      <c r="DQ7">
        <v>8.0894648829431439</v>
      </c>
      <c r="DR7">
        <v>12.777191129883841</v>
      </c>
      <c r="DS7">
        <v>10.88530717122168</v>
      </c>
      <c r="DT7">
        <v>14.91319186822971</v>
      </c>
      <c r="DU7">
        <v>17.067550050410489</v>
      </c>
      <c r="DV7">
        <v>16.268621423504371</v>
      </c>
      <c r="DW7">
        <v>17.452229299363061</v>
      </c>
      <c r="DX7">
        <v>13.743804803659931</v>
      </c>
      <c r="DY7">
        <v>4.3294351828813138</v>
      </c>
      <c r="DZ7">
        <v>7.4162272495322341</v>
      </c>
      <c r="EA7">
        <v>19.933993399339929</v>
      </c>
      <c r="EB7">
        <v>13.99957832595404</v>
      </c>
      <c r="EC7">
        <v>5.6977305649444716</v>
      </c>
      <c r="ED7">
        <v>20.5089594940521</v>
      </c>
      <c r="EE7">
        <v>2.1561771561771561</v>
      </c>
      <c r="EF7">
        <v>8.9070775156475683</v>
      </c>
      <c r="EG7">
        <v>7.0719302494550744</v>
      </c>
      <c r="EH7">
        <v>6.1443160890674706</v>
      </c>
      <c r="EI7">
        <v>15.488260405549619</v>
      </c>
      <c r="EJ7">
        <v>13.99762752075919</v>
      </c>
      <c r="EK7">
        <v>15.67383568002476</v>
      </c>
    </row>
    <row r="8" spans="1:141" x14ac:dyDescent="0.15">
      <c r="A8" s="1" t="s">
        <v>20</v>
      </c>
      <c r="B8" s="7">
        <v>13.219829744616931</v>
      </c>
      <c r="C8">
        <v>9.330078654732846</v>
      </c>
      <c r="D8">
        <v>7.1665043816942564</v>
      </c>
      <c r="E8">
        <v>26.82390565660603</v>
      </c>
      <c r="F8">
        <v>16.0985487681404</v>
      </c>
      <c r="G8">
        <v>6.462140992167102</v>
      </c>
      <c r="H8">
        <v>15.68477429227238</v>
      </c>
      <c r="I8">
        <v>4.7716428084526248</v>
      </c>
      <c r="J8">
        <v>12.19387755102041</v>
      </c>
      <c r="K8">
        <v>12.27317716925107</v>
      </c>
      <c r="L8">
        <v>12.02891068662881</v>
      </c>
      <c r="M8">
        <v>18.980061349693251</v>
      </c>
      <c r="N8">
        <v>10.070257611241219</v>
      </c>
      <c r="O8">
        <v>8.865153538050734</v>
      </c>
    </row>
    <row r="9" spans="1:141" x14ac:dyDescent="0.15">
      <c r="A9" s="1" t="s">
        <v>21</v>
      </c>
      <c r="B9" s="7">
        <v>13.698630136986299</v>
      </c>
      <c r="C9">
        <v>8.6773794808405444</v>
      </c>
      <c r="D9">
        <v>13.30166270783848</v>
      </c>
      <c r="E9">
        <v>27.354507068110891</v>
      </c>
      <c r="F9">
        <v>17.68277257778902</v>
      </c>
      <c r="G9">
        <v>7.4837027379400256</v>
      </c>
      <c r="H9">
        <v>20.834872552641301</v>
      </c>
      <c r="I9">
        <v>4.2492412069273344</v>
      </c>
      <c r="J9">
        <v>11.21825023518344</v>
      </c>
      <c r="K9">
        <v>9.4483389210606514</v>
      </c>
      <c r="L9">
        <v>10.69090909090909</v>
      </c>
      <c r="M9">
        <v>18.198747249026582</v>
      </c>
      <c r="N9">
        <v>11.35636596289187</v>
      </c>
      <c r="O9">
        <v>10.80358847108227</v>
      </c>
    </row>
    <row r="10" spans="1:141" x14ac:dyDescent="0.15">
      <c r="A10" s="1" t="s">
        <v>22</v>
      </c>
      <c r="B10" s="7">
        <v>17.372262773722628</v>
      </c>
      <c r="C10">
        <v>4.4077134986225897</v>
      </c>
      <c r="D10">
        <v>10.57176196032672</v>
      </c>
      <c r="E10">
        <v>26.401299756295689</v>
      </c>
      <c r="F10">
        <v>11.704834605597959</v>
      </c>
      <c r="G10">
        <v>4.4144144144144146</v>
      </c>
      <c r="H10">
        <v>24.13653807311654</v>
      </c>
      <c r="I10">
        <v>3.195985208663497</v>
      </c>
      <c r="J10">
        <v>10.32008830022075</v>
      </c>
      <c r="K10">
        <v>12.46342890579286</v>
      </c>
      <c r="L10">
        <v>9.7632349028997076</v>
      </c>
      <c r="M10">
        <v>17.353710034184601</v>
      </c>
      <c r="N10">
        <v>12.283950617283949</v>
      </c>
      <c r="O10">
        <v>11.808191808191809</v>
      </c>
    </row>
    <row r="11" spans="1:141" x14ac:dyDescent="0.15">
      <c r="A11" s="1" t="s">
        <v>23</v>
      </c>
      <c r="B11" s="7">
        <v>16.476964769647701</v>
      </c>
      <c r="C11">
        <v>7.2773699329715944</v>
      </c>
      <c r="D11">
        <v>7.398409893992933</v>
      </c>
      <c r="E11">
        <v>24.617557072252289</v>
      </c>
      <c r="F11">
        <v>18.910741301059002</v>
      </c>
      <c r="G11">
        <v>4.9951659684176608</v>
      </c>
      <c r="H11">
        <v>17.726929846618049</v>
      </c>
      <c r="I11">
        <v>3.4872298624754419</v>
      </c>
      <c r="J11">
        <v>16.265452179570591</v>
      </c>
      <c r="K11">
        <v>16.547749725576288</v>
      </c>
      <c r="L11">
        <v>13.34375814438363</v>
      </c>
      <c r="M11">
        <v>23.633195382269658</v>
      </c>
      <c r="N11">
        <v>13.077713111947959</v>
      </c>
      <c r="O11">
        <v>12.387436854821001</v>
      </c>
    </row>
    <row r="12" spans="1:141" x14ac:dyDescent="0.15">
      <c r="A12" s="1" t="s">
        <v>24</v>
      </c>
      <c r="B12" s="7">
        <v>15.05195169896097</v>
      </c>
      <c r="C12">
        <v>3.545359749739311</v>
      </c>
      <c r="D12">
        <v>10.335265944038319</v>
      </c>
      <c r="E12">
        <v>25.242504409171069</v>
      </c>
      <c r="F12">
        <v>12.48646697942981</v>
      </c>
      <c r="G12">
        <v>3.909726636999364</v>
      </c>
      <c r="H12">
        <v>20.0887355188563</v>
      </c>
      <c r="I12">
        <v>2.7642276422764231</v>
      </c>
      <c r="J12">
        <v>14.78260869565217</v>
      </c>
      <c r="K12">
        <v>13.36032388663968</v>
      </c>
      <c r="L12">
        <v>7.4302575107296143</v>
      </c>
      <c r="M12">
        <v>21.423603060514719</v>
      </c>
      <c r="N12">
        <v>12.12898497618175</v>
      </c>
      <c r="O12">
        <v>11.00489624621124</v>
      </c>
    </row>
    <row r="13" spans="1:141" x14ac:dyDescent="0.15">
      <c r="A13" s="1" t="s">
        <v>25</v>
      </c>
      <c r="B13" s="7">
        <v>11.188251001335111</v>
      </c>
      <c r="C13">
        <v>5.8515042782224684</v>
      </c>
      <c r="D13">
        <v>9.804347826086957</v>
      </c>
      <c r="E13">
        <v>30.80670303975058</v>
      </c>
      <c r="F13">
        <v>18.17910447761194</v>
      </c>
      <c r="G13">
        <v>8.1858407079646014</v>
      </c>
      <c r="H13">
        <v>21.44904873599166</v>
      </c>
      <c r="I13">
        <v>4.534313725490196</v>
      </c>
      <c r="J13">
        <v>12.783075089392129</v>
      </c>
      <c r="K13">
        <v>8.7381607088298203</v>
      </c>
      <c r="L13">
        <v>12.023529411764709</v>
      </c>
      <c r="M13">
        <v>24.94547894648549</v>
      </c>
      <c r="N13">
        <v>12.14984812689841</v>
      </c>
      <c r="O13">
        <v>20.60580204778157</v>
      </c>
    </row>
    <row r="14" spans="1:141" x14ac:dyDescent="0.15">
      <c r="A14" s="1" t="s">
        <v>26</v>
      </c>
      <c r="B14" s="7">
        <v>12.153407618554031</v>
      </c>
      <c r="C14">
        <v>8.6577571179546773</v>
      </c>
      <c r="D14">
        <v>7.0447110141766629</v>
      </c>
      <c r="E14">
        <v>24.726435016317911</v>
      </c>
      <c r="F14">
        <v>15.02051120227201</v>
      </c>
      <c r="G14">
        <v>5.1005950694247657</v>
      </c>
      <c r="H14">
        <v>27.603121516165</v>
      </c>
      <c r="I14">
        <v>8.8649756597489109</v>
      </c>
      <c r="J14">
        <v>11.36922656463515</v>
      </c>
      <c r="K14">
        <v>6.8748288140235552</v>
      </c>
      <c r="L14">
        <v>10.5831085287404</v>
      </c>
      <c r="M14">
        <v>27.516883932778391</v>
      </c>
      <c r="N14">
        <v>18.209450124343739</v>
      </c>
      <c r="O14">
        <v>19.654822335025379</v>
      </c>
    </row>
    <row r="15" spans="1:141" x14ac:dyDescent="0.15">
      <c r="A15" s="1" t="s">
        <v>27</v>
      </c>
      <c r="B15" s="7">
        <v>13.256006628003311</v>
      </c>
      <c r="C15">
        <v>6.0777749163018289</v>
      </c>
      <c r="D15">
        <v>6.8351613415991093</v>
      </c>
      <c r="E15">
        <v>19.634561783833998</v>
      </c>
      <c r="F15">
        <v>15.89661482159195</v>
      </c>
      <c r="G15">
        <v>5.5304497525285132</v>
      </c>
      <c r="H15">
        <v>16.223559091791191</v>
      </c>
      <c r="I15">
        <v>8.0894648829431439</v>
      </c>
      <c r="J15">
        <v>12.777191129883841</v>
      </c>
      <c r="K15">
        <v>10.88530717122168</v>
      </c>
      <c r="L15">
        <v>14.91319186822971</v>
      </c>
      <c r="M15">
        <v>17.067550050410489</v>
      </c>
      <c r="N15">
        <v>16.268621423504371</v>
      </c>
      <c r="O15">
        <v>17.452229299363061</v>
      </c>
    </row>
    <row r="16" spans="1:141" ht="14.25" thickBot="1" x14ac:dyDescent="0.2">
      <c r="A16" s="1" t="s">
        <v>28</v>
      </c>
      <c r="B16" s="8">
        <v>13.743804803659931</v>
      </c>
      <c r="C16" s="9">
        <v>4.3294351828813138</v>
      </c>
      <c r="D16" s="9">
        <v>7.4162272495322341</v>
      </c>
      <c r="E16" s="9">
        <v>19.933993399339929</v>
      </c>
      <c r="F16" s="9">
        <v>13.99957832595404</v>
      </c>
      <c r="G16" s="9">
        <v>5.6977305649444716</v>
      </c>
      <c r="H16" s="9">
        <v>20.5089594940521</v>
      </c>
      <c r="I16" s="9">
        <v>2.1561771561771561</v>
      </c>
      <c r="J16" s="9">
        <v>8.9070775156475683</v>
      </c>
      <c r="K16" s="9">
        <v>7.0719302494550744</v>
      </c>
      <c r="L16" s="9">
        <v>6.1443160890674706</v>
      </c>
      <c r="M16" s="9">
        <v>15.488260405549619</v>
      </c>
      <c r="N16" s="9">
        <v>13.99762752075919</v>
      </c>
      <c r="O16" s="9">
        <v>15.67383568002476</v>
      </c>
    </row>
    <row r="17" spans="1:141" x14ac:dyDescent="0.15">
      <c r="A17" s="1" t="s">
        <v>29</v>
      </c>
      <c r="B17" s="10">
        <v>24.070796460176989</v>
      </c>
      <c r="C17" s="11">
        <v>12.5</v>
      </c>
      <c r="D17" s="11">
        <v>14.626391096979329</v>
      </c>
      <c r="E17" s="11">
        <v>33.379790940766547</v>
      </c>
      <c r="F17" s="11">
        <v>4.21875</v>
      </c>
      <c r="G17" s="11">
        <v>17.581300813008131</v>
      </c>
      <c r="H17" s="11">
        <v>16.80602006688963</v>
      </c>
      <c r="I17" s="11">
        <v>7.8812691914022519</v>
      </c>
      <c r="J17" s="11">
        <v>1.9252548131370331</v>
      </c>
      <c r="K17" s="11">
        <v>6.7307692307692308</v>
      </c>
      <c r="L17" s="11">
        <v>13.981042654028441</v>
      </c>
      <c r="M17" s="11">
        <v>24.31633407243163</v>
      </c>
      <c r="N17" s="11">
        <v>20.325203252032519</v>
      </c>
      <c r="O17" s="11">
        <v>5.4611650485436893</v>
      </c>
      <c r="P17">
        <v>37.171888230313293</v>
      </c>
      <c r="Q17">
        <v>14.44201312910285</v>
      </c>
      <c r="R17">
        <v>31.644640234948611</v>
      </c>
      <c r="S17">
        <v>34.508816120906801</v>
      </c>
      <c r="T17">
        <v>13.87283236994219</v>
      </c>
      <c r="U17">
        <v>13.57421875</v>
      </c>
      <c r="V17">
        <v>11.92570869990225</v>
      </c>
      <c r="W17">
        <v>19.012345679012341</v>
      </c>
      <c r="X17">
        <v>13.59375</v>
      </c>
      <c r="Y17">
        <v>14.330218068535819</v>
      </c>
      <c r="Z17">
        <v>23.280943025540271</v>
      </c>
      <c r="AA17">
        <v>17.05716963448922</v>
      </c>
      <c r="AB17">
        <v>23.161764705882359</v>
      </c>
      <c r="AC17">
        <v>8.7330873308733086</v>
      </c>
      <c r="AD17">
        <v>39.761769710720372</v>
      </c>
      <c r="AE17">
        <v>14.02805611222445</v>
      </c>
      <c r="AF17">
        <v>18.098818474758321</v>
      </c>
      <c r="AG17">
        <v>40.129799891833422</v>
      </c>
      <c r="AH17">
        <v>14.55004205214466</v>
      </c>
      <c r="AI17">
        <v>17.80147662018048</v>
      </c>
      <c r="AJ17">
        <v>23.700623700623701</v>
      </c>
      <c r="AK17">
        <v>13.242784380305601</v>
      </c>
      <c r="AL17">
        <v>15.755813953488371</v>
      </c>
      <c r="AM17">
        <v>18.36917562724015</v>
      </c>
      <c r="AN17">
        <v>26.116838487972512</v>
      </c>
      <c r="AO17">
        <v>27.51460090850097</v>
      </c>
      <c r="AP17">
        <v>23.044217687074831</v>
      </c>
      <c r="AQ17">
        <v>22.122122122122121</v>
      </c>
      <c r="AR17">
        <v>42.460507419818093</v>
      </c>
      <c r="AS17">
        <v>22.58064516129032</v>
      </c>
      <c r="AT17">
        <v>25.77847851793457</v>
      </c>
      <c r="AU17">
        <v>46.267465069860279</v>
      </c>
      <c r="AV17">
        <v>22.72416153319644</v>
      </c>
      <c r="AW17">
        <v>20.985155195681511</v>
      </c>
      <c r="AX17">
        <v>33.202247191011239</v>
      </c>
      <c r="AY17">
        <v>16.838334079713391</v>
      </c>
      <c r="AZ17">
        <v>12.486602357984999</v>
      </c>
      <c r="BA17">
        <v>20.984615384615381</v>
      </c>
      <c r="BB17">
        <v>29.95475113122172</v>
      </c>
      <c r="BC17">
        <v>26.802070888092391</v>
      </c>
      <c r="BD17">
        <v>31.526548672566371</v>
      </c>
      <c r="BE17">
        <v>15.28436018957346</v>
      </c>
      <c r="BF17">
        <v>55.438931297709928</v>
      </c>
      <c r="BG17">
        <v>40.18892228424216</v>
      </c>
      <c r="BH17">
        <v>45.905115292870398</v>
      </c>
      <c r="BI17">
        <v>60.548628428927678</v>
      </c>
      <c r="BJ17">
        <v>22.04358699535549</v>
      </c>
      <c r="BK17">
        <v>45.264957264957268</v>
      </c>
      <c r="BL17">
        <v>60.907903331156113</v>
      </c>
      <c r="BM17">
        <v>10.05167958656331</v>
      </c>
      <c r="BN17">
        <v>19.484478935698451</v>
      </c>
      <c r="BO17">
        <v>37.051039697542542</v>
      </c>
      <c r="BP17">
        <v>39.179778179004387</v>
      </c>
      <c r="BQ17">
        <v>41.29032258064516</v>
      </c>
      <c r="BR17">
        <v>43.062873199859503</v>
      </c>
      <c r="BS17">
        <v>25.469571750563489</v>
      </c>
    </row>
    <row r="18" spans="1:141" x14ac:dyDescent="0.15">
      <c r="A18" s="1" t="s">
        <v>30</v>
      </c>
      <c r="B18" s="7">
        <v>37.171888230313293</v>
      </c>
      <c r="C18">
        <v>14.44201312910285</v>
      </c>
      <c r="D18">
        <v>31.644640234948611</v>
      </c>
      <c r="E18">
        <v>34.508816120906801</v>
      </c>
      <c r="F18">
        <v>13.87283236994219</v>
      </c>
      <c r="G18">
        <v>13.57421875</v>
      </c>
      <c r="H18">
        <v>11.92570869990225</v>
      </c>
      <c r="I18">
        <v>19.012345679012341</v>
      </c>
      <c r="J18">
        <v>13.59375</v>
      </c>
      <c r="K18">
        <v>14.330218068535819</v>
      </c>
      <c r="L18">
        <v>23.280943025540271</v>
      </c>
      <c r="M18">
        <v>17.05716963448922</v>
      </c>
      <c r="N18">
        <v>23.161764705882359</v>
      </c>
      <c r="O18">
        <v>8.7330873308733086</v>
      </c>
    </row>
    <row r="19" spans="1:141" x14ac:dyDescent="0.15">
      <c r="A19" s="1" t="s">
        <v>31</v>
      </c>
      <c r="B19" s="7">
        <v>39.761769710720372</v>
      </c>
      <c r="C19">
        <v>14.02805611222445</v>
      </c>
      <c r="D19">
        <v>18.098818474758321</v>
      </c>
      <c r="E19">
        <v>40.129799891833422</v>
      </c>
      <c r="F19">
        <v>14.55004205214466</v>
      </c>
      <c r="G19">
        <v>17.80147662018048</v>
      </c>
      <c r="H19">
        <v>23.700623700623701</v>
      </c>
      <c r="I19">
        <v>13.242784380305601</v>
      </c>
      <c r="J19">
        <v>15.755813953488371</v>
      </c>
      <c r="K19">
        <v>18.36917562724015</v>
      </c>
      <c r="L19">
        <v>26.116838487972512</v>
      </c>
      <c r="M19">
        <v>27.51460090850097</v>
      </c>
      <c r="N19">
        <v>23.044217687074831</v>
      </c>
      <c r="O19">
        <v>22.122122122122121</v>
      </c>
    </row>
    <row r="20" spans="1:141" x14ac:dyDescent="0.15">
      <c r="A20" s="1" t="s">
        <v>32</v>
      </c>
      <c r="B20" s="7">
        <v>42.460507419818093</v>
      </c>
      <c r="C20">
        <v>22.58064516129032</v>
      </c>
      <c r="D20">
        <v>25.77847851793457</v>
      </c>
      <c r="E20">
        <v>46.267465069860279</v>
      </c>
      <c r="F20">
        <v>22.72416153319644</v>
      </c>
      <c r="G20">
        <v>20.985155195681511</v>
      </c>
      <c r="H20">
        <v>33.202247191011239</v>
      </c>
      <c r="I20">
        <v>16.838334079713391</v>
      </c>
      <c r="J20">
        <v>12.486602357984999</v>
      </c>
      <c r="K20">
        <v>20.984615384615381</v>
      </c>
      <c r="L20">
        <v>29.95475113122172</v>
      </c>
      <c r="M20">
        <v>26.802070888092391</v>
      </c>
      <c r="N20">
        <v>31.526548672566371</v>
      </c>
      <c r="O20">
        <v>15.28436018957346</v>
      </c>
    </row>
    <row r="21" spans="1:141" ht="14.25" thickBot="1" x14ac:dyDescent="0.2">
      <c r="A21" s="1" t="s">
        <v>33</v>
      </c>
      <c r="B21" s="8">
        <v>55.438931297709928</v>
      </c>
      <c r="C21" s="9">
        <v>40.18892228424216</v>
      </c>
      <c r="D21" s="9">
        <v>45.905115292870398</v>
      </c>
      <c r="E21" s="9">
        <v>60.548628428927678</v>
      </c>
      <c r="F21" s="9">
        <v>22.04358699535549</v>
      </c>
      <c r="G21" s="9">
        <v>45.264957264957268</v>
      </c>
      <c r="H21" s="9">
        <v>60.907903331156113</v>
      </c>
      <c r="I21" s="9">
        <v>10.05167958656331</v>
      </c>
      <c r="J21" s="9">
        <v>19.484478935698451</v>
      </c>
      <c r="K21" s="9">
        <v>37.051039697542542</v>
      </c>
      <c r="L21" s="9">
        <v>39.179778179004387</v>
      </c>
      <c r="M21" s="9">
        <v>41.29032258064516</v>
      </c>
      <c r="N21" s="9">
        <v>43.062873199859503</v>
      </c>
      <c r="O21" s="9">
        <v>25.469571750563489</v>
      </c>
    </row>
    <row r="22" spans="1:141" x14ac:dyDescent="0.15">
      <c r="A22" s="1" t="s">
        <v>34</v>
      </c>
      <c r="B22">
        <v>27.578475336322871</v>
      </c>
      <c r="C22">
        <v>33.16912972085386</v>
      </c>
      <c r="D22">
        <v>29.749935550399591</v>
      </c>
      <c r="E22">
        <v>28.49588719153936</v>
      </c>
      <c r="F22">
        <v>22.015334063526829</v>
      </c>
      <c r="G22">
        <v>25.83621683967705</v>
      </c>
      <c r="H22">
        <v>36.471518987341767</v>
      </c>
      <c r="I22">
        <v>7.4666666666666677</v>
      </c>
      <c r="J22">
        <v>30.989583333333329</v>
      </c>
      <c r="K22">
        <v>25.403225806451609</v>
      </c>
      <c r="L22">
        <v>22.48008313127815</v>
      </c>
      <c r="M22">
        <v>21.464411819364429</v>
      </c>
      <c r="N22">
        <v>28.966455122393469</v>
      </c>
      <c r="O22">
        <v>29.14990614105659</v>
      </c>
      <c r="P22">
        <v>24.306326304106548</v>
      </c>
      <c r="Q22">
        <v>28.170809432759722</v>
      </c>
      <c r="R22">
        <v>28.38827838827839</v>
      </c>
      <c r="S22">
        <v>21.93722578467769</v>
      </c>
      <c r="T22">
        <v>24.44852941176471</v>
      </c>
      <c r="U22">
        <v>30.032467532467528</v>
      </c>
      <c r="V22">
        <v>35.054617676266133</v>
      </c>
      <c r="W22">
        <v>10.110359558561759</v>
      </c>
      <c r="X22">
        <v>36.490364903649038</v>
      </c>
      <c r="Y22">
        <v>24.1240666283745</v>
      </c>
      <c r="Z22">
        <v>20.805631599530699</v>
      </c>
      <c r="AA22">
        <v>11.090136857008019</v>
      </c>
      <c r="AB22">
        <v>28.249400479616309</v>
      </c>
      <c r="AC22">
        <v>32.457598935816428</v>
      </c>
      <c r="AD22">
        <v>37.072434607645867</v>
      </c>
      <c r="AE22">
        <v>36.833688699360337</v>
      </c>
      <c r="AF22">
        <v>25.6608639587363</v>
      </c>
      <c r="AG22">
        <v>34.057971014492757</v>
      </c>
      <c r="AH22">
        <v>34.328358208955223</v>
      </c>
      <c r="AI22">
        <v>23.430782459157349</v>
      </c>
      <c r="AJ22">
        <v>19.504310344827591</v>
      </c>
      <c r="AK22">
        <v>15.784543325526929</v>
      </c>
      <c r="AL22">
        <v>36.041744316064097</v>
      </c>
      <c r="AM22">
        <v>20.287331301697868</v>
      </c>
      <c r="AN22">
        <v>24.23522423522423</v>
      </c>
      <c r="AO22">
        <v>9.5287739783152627</v>
      </c>
      <c r="AP22">
        <v>34.169781099839831</v>
      </c>
      <c r="AQ22">
        <v>31.34143317629556</v>
      </c>
      <c r="AR22">
        <v>27.448071216617208</v>
      </c>
      <c r="AS22">
        <v>34.516460905349803</v>
      </c>
      <c r="AT22">
        <v>24.697336561743342</v>
      </c>
      <c r="AU22">
        <v>28.269907259354021</v>
      </c>
      <c r="AV22">
        <v>21.107055961070561</v>
      </c>
      <c r="AW22">
        <v>21.593406593406591</v>
      </c>
      <c r="AX22">
        <v>22.352941176470591</v>
      </c>
      <c r="AY22">
        <v>13.6231884057971</v>
      </c>
      <c r="AZ22">
        <v>31.630901287553652</v>
      </c>
      <c r="BA22">
        <v>19.274567692956559</v>
      </c>
      <c r="BB22">
        <v>19.980506822612089</v>
      </c>
      <c r="BC22">
        <v>18.43915343915344</v>
      </c>
      <c r="BD22">
        <v>28.477905073649762</v>
      </c>
      <c r="BE22">
        <v>29.06152537567338</v>
      </c>
      <c r="BF22">
        <v>30.709736123748861</v>
      </c>
      <c r="BG22">
        <v>26.580116159890672</v>
      </c>
      <c r="BH22">
        <v>25.31258682967491</v>
      </c>
      <c r="BI22">
        <v>38.982175148540428</v>
      </c>
      <c r="BJ22">
        <v>28.234880450070321</v>
      </c>
      <c r="BK22">
        <v>45.54621848739496</v>
      </c>
      <c r="BL22">
        <v>36.322532027128872</v>
      </c>
      <c r="BM22">
        <v>12.54888019907572</v>
      </c>
      <c r="BN22">
        <v>30.89965397923876</v>
      </c>
      <c r="BO22">
        <v>26.329206117989798</v>
      </c>
      <c r="BP22">
        <v>22.041872500588099</v>
      </c>
      <c r="BQ22">
        <v>12.05122341641893</v>
      </c>
      <c r="BR22">
        <v>39.045183290707577</v>
      </c>
      <c r="BS22">
        <v>20.53643998916283</v>
      </c>
      <c r="BT22">
        <v>15.585009140767831</v>
      </c>
      <c r="BU22">
        <v>23.175965665236049</v>
      </c>
      <c r="BV22">
        <v>18.336953149239839</v>
      </c>
      <c r="BW22">
        <v>33.775447254781</v>
      </c>
      <c r="BX22">
        <v>22.222222222222221</v>
      </c>
      <c r="BY22">
        <v>35.316846986089637</v>
      </c>
      <c r="BZ22">
        <v>35.52072263549416</v>
      </c>
      <c r="CA22">
        <v>7.5558982266769474</v>
      </c>
      <c r="CB22">
        <v>40.032573289902281</v>
      </c>
      <c r="CC22">
        <v>27.162464091924669</v>
      </c>
      <c r="CD22">
        <v>17.537775575922719</v>
      </c>
      <c r="CE22">
        <v>13.29290280281921</v>
      </c>
      <c r="CF22">
        <v>41.68554599003172</v>
      </c>
      <c r="CG22">
        <v>28.726287262872631</v>
      </c>
      <c r="CH22">
        <v>20.56364939097206</v>
      </c>
      <c r="CI22">
        <v>38.785925329035727</v>
      </c>
      <c r="CJ22">
        <v>31.170922475270299</v>
      </c>
      <c r="CK22">
        <v>50.958772770853308</v>
      </c>
      <c r="CL22">
        <v>49.629629629629633</v>
      </c>
      <c r="CM22">
        <v>34.428754813863932</v>
      </c>
      <c r="CN22">
        <v>41.564662054284199</v>
      </c>
      <c r="CO22">
        <v>13.905702453010511</v>
      </c>
      <c r="CP22">
        <v>37.309074573225523</v>
      </c>
      <c r="CQ22">
        <v>39.087875417130149</v>
      </c>
      <c r="CR22">
        <v>19.409808811305069</v>
      </c>
      <c r="CS22">
        <v>33.33921637839746</v>
      </c>
      <c r="CT22">
        <v>31.30744144678328</v>
      </c>
      <c r="CU22">
        <v>24.421812009335881</v>
      </c>
      <c r="CV22">
        <v>21.96531791907514</v>
      </c>
      <c r="CW22">
        <v>36.987577639751549</v>
      </c>
      <c r="CX22">
        <v>18.095700752975471</v>
      </c>
      <c r="CY22">
        <v>46.865520728008093</v>
      </c>
      <c r="CZ22">
        <v>47.561768530559171</v>
      </c>
      <c r="DA22">
        <v>36.908743430482559</v>
      </c>
      <c r="DB22">
        <v>35.765722515602491</v>
      </c>
      <c r="DC22">
        <v>3.6415908001916621</v>
      </c>
      <c r="DD22">
        <v>25.44857215061916</v>
      </c>
      <c r="DE22">
        <v>30.080248511519539</v>
      </c>
      <c r="DF22">
        <v>12.75925439747965</v>
      </c>
      <c r="DG22">
        <v>19.917440660474721</v>
      </c>
      <c r="DH22">
        <v>31.96033562166286</v>
      </c>
      <c r="DI22">
        <v>23.861852433281001</v>
      </c>
      <c r="DJ22">
        <v>21.04347826086957</v>
      </c>
      <c r="DK22">
        <v>38.810301051867967</v>
      </c>
      <c r="DL22">
        <v>31.56207054512139</v>
      </c>
      <c r="DM22">
        <v>58.674736188702667</v>
      </c>
      <c r="DN22">
        <v>45.503718728870858</v>
      </c>
      <c r="DO22">
        <v>26.65306122448979</v>
      </c>
      <c r="DP22">
        <v>51.076762764848901</v>
      </c>
      <c r="DQ22">
        <v>1.2571556852620951</v>
      </c>
      <c r="DR22">
        <v>38.031358885017418</v>
      </c>
      <c r="DS22">
        <v>35.815761926125319</v>
      </c>
      <c r="DT22">
        <v>3.4547311095983662</v>
      </c>
      <c r="DU22">
        <v>7.5009103046486221</v>
      </c>
      <c r="DV22">
        <v>34.022750775594623</v>
      </c>
      <c r="DW22">
        <v>33.743917274939172</v>
      </c>
      <c r="DX22">
        <v>20.79696394686907</v>
      </c>
      <c r="DY22">
        <v>42.818815954212127</v>
      </c>
      <c r="DZ22">
        <v>20.944525311337539</v>
      </c>
      <c r="EA22">
        <v>55.631845675984962</v>
      </c>
      <c r="EB22">
        <v>46.435252546248179</v>
      </c>
      <c r="EC22">
        <v>40.179538771088069</v>
      </c>
      <c r="ED22">
        <v>53.95948434622467</v>
      </c>
      <c r="EE22">
        <v>2.6099224077122032</v>
      </c>
      <c r="EF22">
        <v>30.34471047716081</v>
      </c>
      <c r="EG22">
        <v>28.77551020408163</v>
      </c>
      <c r="EH22">
        <v>2.2614975294564812</v>
      </c>
      <c r="EI22">
        <v>14.10850770580128</v>
      </c>
      <c r="EJ22">
        <v>36.569701548923312</v>
      </c>
      <c r="EK22">
        <v>28.8729739917075</v>
      </c>
    </row>
    <row r="23" spans="1:141" x14ac:dyDescent="0.15">
      <c r="A23" s="1" t="s">
        <v>35</v>
      </c>
      <c r="B23">
        <v>24.306326304106548</v>
      </c>
      <c r="C23">
        <v>28.170809432759722</v>
      </c>
      <c r="D23">
        <v>28.38827838827839</v>
      </c>
      <c r="E23">
        <v>21.93722578467769</v>
      </c>
      <c r="F23">
        <v>24.44852941176471</v>
      </c>
      <c r="G23">
        <v>30.032467532467528</v>
      </c>
      <c r="H23">
        <v>35.054617676266133</v>
      </c>
      <c r="I23">
        <v>10.110359558561759</v>
      </c>
      <c r="J23">
        <v>36.490364903649038</v>
      </c>
      <c r="K23">
        <v>24.1240666283745</v>
      </c>
      <c r="L23">
        <v>20.805631599530699</v>
      </c>
      <c r="M23">
        <v>11.090136857008019</v>
      </c>
      <c r="N23">
        <v>28.249400479616309</v>
      </c>
      <c r="O23">
        <v>32.457598935816428</v>
      </c>
    </row>
    <row r="24" spans="1:141" x14ac:dyDescent="0.15">
      <c r="A24" s="1" t="s">
        <v>36</v>
      </c>
      <c r="B24">
        <v>37.072434607645867</v>
      </c>
      <c r="C24">
        <v>36.833688699360337</v>
      </c>
      <c r="D24">
        <v>25.6608639587363</v>
      </c>
      <c r="E24">
        <v>34.057971014492757</v>
      </c>
      <c r="F24">
        <v>34.328358208955223</v>
      </c>
      <c r="G24">
        <v>23.430782459157349</v>
      </c>
      <c r="H24">
        <v>19.504310344827591</v>
      </c>
      <c r="I24">
        <v>15.784543325526929</v>
      </c>
      <c r="J24">
        <v>36.041744316064097</v>
      </c>
      <c r="K24">
        <v>20.287331301697868</v>
      </c>
      <c r="L24">
        <v>24.23522423522423</v>
      </c>
      <c r="M24">
        <v>9.5287739783152627</v>
      </c>
      <c r="N24">
        <v>34.169781099839831</v>
      </c>
      <c r="O24">
        <v>31.34143317629556</v>
      </c>
    </row>
    <row r="25" spans="1:141" x14ac:dyDescent="0.15">
      <c r="A25" s="1" t="s">
        <v>37</v>
      </c>
      <c r="B25">
        <v>27.448071216617208</v>
      </c>
      <c r="C25">
        <v>34.516460905349803</v>
      </c>
      <c r="D25">
        <v>24.697336561743342</v>
      </c>
      <c r="E25">
        <v>28.269907259354021</v>
      </c>
      <c r="F25">
        <v>21.107055961070561</v>
      </c>
      <c r="G25">
        <v>21.593406593406591</v>
      </c>
      <c r="H25">
        <v>22.352941176470591</v>
      </c>
      <c r="I25">
        <v>13.6231884057971</v>
      </c>
      <c r="J25">
        <v>31.630901287553652</v>
      </c>
      <c r="K25">
        <v>19.274567692956559</v>
      </c>
      <c r="L25">
        <v>19.980506822612089</v>
      </c>
      <c r="M25">
        <v>18.43915343915344</v>
      </c>
      <c r="N25">
        <v>28.477905073649762</v>
      </c>
      <c r="O25">
        <v>29.06152537567338</v>
      </c>
    </row>
    <row r="26" spans="1:141" x14ac:dyDescent="0.15">
      <c r="A26" s="1" t="s">
        <v>38</v>
      </c>
      <c r="B26">
        <v>30.709736123748861</v>
      </c>
      <c r="C26">
        <v>26.580116159890672</v>
      </c>
      <c r="D26">
        <v>25.31258682967491</v>
      </c>
      <c r="E26">
        <v>38.982175148540428</v>
      </c>
      <c r="F26">
        <v>28.234880450070321</v>
      </c>
      <c r="G26">
        <v>45.54621848739496</v>
      </c>
      <c r="H26">
        <v>36.322532027128872</v>
      </c>
      <c r="I26">
        <v>12.54888019907572</v>
      </c>
      <c r="J26">
        <v>30.89965397923876</v>
      </c>
      <c r="K26">
        <v>26.329206117989798</v>
      </c>
      <c r="L26">
        <v>22.041872500588099</v>
      </c>
      <c r="M26">
        <v>12.05122341641893</v>
      </c>
      <c r="N26">
        <v>39.045183290707577</v>
      </c>
      <c r="O26">
        <v>20.53643998916283</v>
      </c>
    </row>
    <row r="27" spans="1:141" x14ac:dyDescent="0.15">
      <c r="A27" s="1" t="s">
        <v>39</v>
      </c>
      <c r="B27">
        <v>15.585009140767831</v>
      </c>
      <c r="C27">
        <v>23.175965665236049</v>
      </c>
      <c r="D27">
        <v>18.336953149239839</v>
      </c>
      <c r="E27">
        <v>33.775447254781</v>
      </c>
      <c r="F27">
        <v>22.222222222222221</v>
      </c>
      <c r="G27">
        <v>35.316846986089637</v>
      </c>
      <c r="H27">
        <v>35.52072263549416</v>
      </c>
      <c r="I27">
        <v>7.5558982266769474</v>
      </c>
      <c r="J27">
        <v>40.032573289902281</v>
      </c>
      <c r="K27">
        <v>27.162464091924669</v>
      </c>
      <c r="L27">
        <v>17.537775575922719</v>
      </c>
      <c r="M27">
        <v>13.29290280281921</v>
      </c>
      <c r="N27">
        <v>41.68554599003172</v>
      </c>
      <c r="O27">
        <v>28.726287262872631</v>
      </c>
    </row>
    <row r="28" spans="1:141" x14ac:dyDescent="0.15">
      <c r="A28" s="1" t="s">
        <v>40</v>
      </c>
      <c r="B28">
        <v>20.56364939097206</v>
      </c>
      <c r="C28">
        <v>38.785925329035727</v>
      </c>
      <c r="D28">
        <v>31.170922475270299</v>
      </c>
      <c r="E28">
        <v>50.958772770853308</v>
      </c>
      <c r="F28">
        <v>49.629629629629633</v>
      </c>
      <c r="G28">
        <v>34.428754813863932</v>
      </c>
      <c r="H28">
        <v>41.564662054284199</v>
      </c>
      <c r="I28">
        <v>13.905702453010511</v>
      </c>
      <c r="J28">
        <v>37.309074573225523</v>
      </c>
      <c r="K28">
        <v>39.087875417130149</v>
      </c>
      <c r="L28">
        <v>19.409808811305069</v>
      </c>
      <c r="M28">
        <v>33.33921637839746</v>
      </c>
      <c r="N28">
        <v>31.30744144678328</v>
      </c>
      <c r="O28">
        <v>24.421812009335881</v>
      </c>
    </row>
    <row r="29" spans="1:141" x14ac:dyDescent="0.15">
      <c r="A29" s="1" t="s">
        <v>41</v>
      </c>
      <c r="B29">
        <v>21.96531791907514</v>
      </c>
      <c r="C29">
        <v>36.987577639751549</v>
      </c>
      <c r="D29">
        <v>18.095700752975471</v>
      </c>
      <c r="E29">
        <v>46.865520728008093</v>
      </c>
      <c r="F29">
        <v>47.561768530559171</v>
      </c>
      <c r="G29">
        <v>36.908743430482559</v>
      </c>
      <c r="H29">
        <v>35.765722515602491</v>
      </c>
      <c r="I29">
        <v>3.6415908001916621</v>
      </c>
      <c r="J29">
        <v>25.44857215061916</v>
      </c>
      <c r="K29">
        <v>30.080248511519539</v>
      </c>
      <c r="L29">
        <v>12.75925439747965</v>
      </c>
      <c r="M29">
        <v>19.917440660474721</v>
      </c>
      <c r="N29">
        <v>31.96033562166286</v>
      </c>
      <c r="O29">
        <v>23.861852433281001</v>
      </c>
    </row>
    <row r="30" spans="1:141" x14ac:dyDescent="0.15">
      <c r="A30" s="1" t="s">
        <v>42</v>
      </c>
      <c r="B30">
        <v>21.04347826086957</v>
      </c>
      <c r="C30">
        <v>38.810301051867967</v>
      </c>
      <c r="D30">
        <v>31.56207054512139</v>
      </c>
      <c r="E30">
        <v>58.674736188702667</v>
      </c>
      <c r="F30">
        <v>45.503718728870858</v>
      </c>
      <c r="G30">
        <v>26.65306122448979</v>
      </c>
      <c r="H30">
        <v>51.076762764848901</v>
      </c>
      <c r="I30">
        <v>1.2571556852620951</v>
      </c>
      <c r="J30">
        <v>38.031358885017418</v>
      </c>
      <c r="K30">
        <v>35.815761926125319</v>
      </c>
      <c r="L30">
        <v>3.4547311095983662</v>
      </c>
      <c r="M30">
        <v>7.5009103046486221</v>
      </c>
      <c r="N30">
        <v>34.022750775594623</v>
      </c>
      <c r="O30">
        <v>33.743917274939172</v>
      </c>
      <c r="P30" t="s">
        <v>109</v>
      </c>
      <c r="T30" t="s">
        <v>87</v>
      </c>
      <c r="V30" t="s">
        <v>88</v>
      </c>
    </row>
    <row r="31" spans="1:141" x14ac:dyDescent="0.15">
      <c r="A31" s="1" t="s">
        <v>43</v>
      </c>
      <c r="B31">
        <v>20.79696394686907</v>
      </c>
      <c r="C31">
        <v>42.818815954212127</v>
      </c>
      <c r="D31">
        <v>20.944525311337539</v>
      </c>
      <c r="E31">
        <v>55.631845675984962</v>
      </c>
      <c r="F31">
        <v>46.435252546248179</v>
      </c>
      <c r="G31">
        <v>40.179538771088069</v>
      </c>
      <c r="H31">
        <v>53.95948434622467</v>
      </c>
      <c r="I31">
        <v>2.6099224077122032</v>
      </c>
      <c r="J31">
        <v>30.34471047716081</v>
      </c>
      <c r="K31">
        <v>28.77551020408163</v>
      </c>
      <c r="L31">
        <v>2.2614975294564812</v>
      </c>
      <c r="M31">
        <v>14.10850770580128</v>
      </c>
      <c r="N31">
        <v>36.569701548923312</v>
      </c>
      <c r="O31">
        <v>28.8729739917075</v>
      </c>
      <c r="Q31" t="s">
        <v>65</v>
      </c>
      <c r="R31" t="s">
        <v>66</v>
      </c>
      <c r="T31" t="s">
        <v>89</v>
      </c>
      <c r="U31" t="s">
        <v>90</v>
      </c>
      <c r="V31" t="s">
        <v>89</v>
      </c>
      <c r="W31" t="s">
        <v>90</v>
      </c>
    </row>
    <row r="32" spans="1:141" x14ac:dyDescent="0.15">
      <c r="Q32">
        <f>CORREL(B2:O16,B35:O49)</f>
        <v>-0.36219140183226983</v>
      </c>
      <c r="R32">
        <f>CORREL(B2:O16,B71:O85)</f>
        <v>-0.40578039344814054</v>
      </c>
      <c r="T32">
        <f>Q32*SQRT(68)/SQRT(1-Q32^2)</f>
        <v>-3.2042643687197776</v>
      </c>
      <c r="U32">
        <f>TDIST(ABS(T32),68,2)</f>
        <v>2.0624713922587734E-3</v>
      </c>
      <c r="V32">
        <f>R32*SQRT(68)/SQRT(1-R32^2)</f>
        <v>-3.6611142816666731</v>
      </c>
      <c r="W32">
        <f>TDIST(ABS(V32),68,2)</f>
        <v>4.9197003687452361E-4</v>
      </c>
    </row>
    <row r="33" spans="1:40" x14ac:dyDescent="0.15">
      <c r="A33" s="2" t="s">
        <v>44</v>
      </c>
      <c r="Q33" t="s">
        <v>67</v>
      </c>
      <c r="R33" t="s">
        <v>68</v>
      </c>
      <c r="T33" t="s">
        <v>91</v>
      </c>
      <c r="V33" t="s">
        <v>92</v>
      </c>
    </row>
    <row r="34" spans="1:40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Q34">
        <f>CORREL(B17:O31,B50:O64)</f>
        <v>-5.0526899297465552E-2</v>
      </c>
      <c r="R34">
        <f>CORREL(B17:O31,B86:O100)</f>
        <v>-8.0151144889957379E-2</v>
      </c>
      <c r="T34" t="s">
        <v>89</v>
      </c>
      <c r="U34" t="s">
        <v>90</v>
      </c>
      <c r="V34" t="s">
        <v>89</v>
      </c>
      <c r="W34" t="s">
        <v>90</v>
      </c>
    </row>
    <row r="35" spans="1:40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T35">
        <f>Q34*SQRT(68)/SQRT(1-Q34^2)</f>
        <v>-0.41718835997012915</v>
      </c>
      <c r="U35">
        <f>TDIST(ABS(T35),68,2)</f>
        <v>0.67785483250937628</v>
      </c>
      <c r="V35">
        <f>R34*SQRT(68)/SQRT(1-R34^2)</f>
        <v>-0.66307657476825366</v>
      </c>
      <c r="W35">
        <f>TDIST(ABS(V35),68,2)</f>
        <v>0.50952306838725425</v>
      </c>
      <c r="AH35" t="s">
        <v>118</v>
      </c>
      <c r="AL35" t="s">
        <v>118</v>
      </c>
    </row>
    <row r="36" spans="1:40" ht="14.25" thickBot="1" x14ac:dyDescent="0.2">
      <c r="A36" s="1" t="s">
        <v>15</v>
      </c>
      <c r="B36" s="3">
        <v>70</v>
      </c>
      <c r="C36" s="5">
        <v>90</v>
      </c>
      <c r="D36" s="6">
        <v>75</v>
      </c>
      <c r="E36" s="6">
        <v>90</v>
      </c>
      <c r="F36" s="6">
        <v>95</v>
      </c>
      <c r="G36" s="6">
        <v>100</v>
      </c>
      <c r="H36" s="6">
        <v>95</v>
      </c>
      <c r="I36" s="6">
        <v>100</v>
      </c>
      <c r="J36" s="6">
        <v>95</v>
      </c>
      <c r="K36" s="6">
        <v>100</v>
      </c>
      <c r="L36" s="6">
        <v>100</v>
      </c>
      <c r="M36" s="6">
        <v>90</v>
      </c>
      <c r="N36" s="6">
        <v>95</v>
      </c>
      <c r="O36" s="6">
        <v>98</v>
      </c>
      <c r="P36" t="s">
        <v>110</v>
      </c>
    </row>
    <row r="37" spans="1:40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69</v>
      </c>
      <c r="Z37" t="s">
        <v>48</v>
      </c>
      <c r="AD37" t="s">
        <v>72</v>
      </c>
      <c r="AH37" s="14"/>
      <c r="AI37" s="14" t="s">
        <v>74</v>
      </c>
      <c r="AJ37" s="14" t="s">
        <v>75</v>
      </c>
      <c r="AL37" s="14"/>
      <c r="AM37" s="14" t="s">
        <v>74</v>
      </c>
      <c r="AN37" s="14" t="s">
        <v>75</v>
      </c>
    </row>
    <row r="38" spans="1:4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49</v>
      </c>
      <c r="S38" t="s">
        <v>50</v>
      </c>
      <c r="T38" t="s">
        <v>51</v>
      </c>
      <c r="U38" t="s">
        <v>52</v>
      </c>
      <c r="Z38" t="s">
        <v>73</v>
      </c>
      <c r="AD38" t="s">
        <v>73</v>
      </c>
      <c r="AH38" t="s">
        <v>76</v>
      </c>
      <c r="AI38">
        <v>9.9113025209839467</v>
      </c>
      <c r="AJ38">
        <v>13.045834166454334</v>
      </c>
      <c r="AL38" t="s">
        <v>76</v>
      </c>
      <c r="AM38">
        <v>24.40161935666373</v>
      </c>
      <c r="AN38">
        <v>27.942021353584188</v>
      </c>
    </row>
    <row r="39" spans="1:40" ht="14.25" thickBot="1" x14ac:dyDescent="0.2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70</v>
      </c>
      <c r="R39" s="12">
        <f>CORREL(B2:O6,B35:O39)</f>
        <v>0.11354801160289296</v>
      </c>
      <c r="S39" s="12">
        <f>CORREL(B7:O16,B40:O49)</f>
        <v>-0.37838367366449105</v>
      </c>
      <c r="T39" s="12">
        <f>CORREL(B2:O6,B71:O75)</f>
        <v>0.13402612169126021</v>
      </c>
      <c r="U39" s="12">
        <f>CORREL(B7:O16,B76:O85)</f>
        <v>-0.41871820352923389</v>
      </c>
      <c r="AH39" t="s">
        <v>77</v>
      </c>
      <c r="AI39">
        <v>12.297762872900263</v>
      </c>
      <c r="AJ39">
        <v>39.700077912852784</v>
      </c>
      <c r="AL39" t="s">
        <v>77</v>
      </c>
      <c r="AM39">
        <v>174.8112816829188</v>
      </c>
      <c r="AN39">
        <v>127.00790504457271</v>
      </c>
    </row>
    <row r="40" spans="1:4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71</v>
      </c>
      <c r="R40" s="12">
        <f>CORREL(B17:O21,B50:O54)</f>
        <v>-0.5307768857971783</v>
      </c>
      <c r="S40" s="12">
        <f>CORREL(B22:O31,B55:O64)</f>
        <v>0.269476499849572</v>
      </c>
      <c r="T40" s="12">
        <f>CORREL(B17:O21,B86:O90)</f>
        <v>-0.41836210618432251</v>
      </c>
      <c r="U40" s="12">
        <f>CORREL(B22:O31,B91:O100)</f>
        <v>0.18743122729579603</v>
      </c>
      <c r="Z40" s="14"/>
      <c r="AA40" s="14" t="s">
        <v>74</v>
      </c>
      <c r="AB40" s="14" t="s">
        <v>75</v>
      </c>
      <c r="AD40" s="14"/>
      <c r="AE40" s="14" t="s">
        <v>74</v>
      </c>
      <c r="AF40" s="14" t="s">
        <v>75</v>
      </c>
      <c r="AH40" t="s">
        <v>78</v>
      </c>
      <c r="AI40">
        <v>70</v>
      </c>
      <c r="AJ40">
        <v>140</v>
      </c>
      <c r="AL40" t="s">
        <v>78</v>
      </c>
      <c r="AM40">
        <v>70</v>
      </c>
      <c r="AN40">
        <v>140</v>
      </c>
    </row>
    <row r="41" spans="1:4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76</v>
      </c>
      <c r="AA41">
        <v>9.9113025209839467</v>
      </c>
      <c r="AB41">
        <v>13.045834166454334</v>
      </c>
      <c r="AD41" t="s">
        <v>76</v>
      </c>
      <c r="AE41">
        <v>24.40161935666373</v>
      </c>
      <c r="AF41">
        <v>27.942021353584188</v>
      </c>
      <c r="AH41" t="s">
        <v>80</v>
      </c>
      <c r="AI41">
        <v>0</v>
      </c>
      <c r="AL41" t="s">
        <v>80</v>
      </c>
      <c r="AM41">
        <v>0</v>
      </c>
    </row>
    <row r="42" spans="1:4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101</v>
      </c>
      <c r="S42" t="s">
        <v>102</v>
      </c>
      <c r="U42" t="s">
        <v>103</v>
      </c>
      <c r="W42" t="s">
        <v>104</v>
      </c>
      <c r="Z42" t="s">
        <v>77</v>
      </c>
      <c r="AA42">
        <v>12.297762872900263</v>
      </c>
      <c r="AB42">
        <v>39.700077912852784</v>
      </c>
      <c r="AD42" t="s">
        <v>77</v>
      </c>
      <c r="AE42">
        <v>174.8112816829188</v>
      </c>
      <c r="AF42">
        <v>127.00790504457271</v>
      </c>
      <c r="AH42" t="s">
        <v>81</v>
      </c>
      <c r="AI42">
        <v>206</v>
      </c>
      <c r="AL42" t="s">
        <v>81</v>
      </c>
      <c r="AM42">
        <v>120</v>
      </c>
    </row>
    <row r="43" spans="1:4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89</v>
      </c>
      <c r="R43" t="s">
        <v>90</v>
      </c>
      <c r="S43" t="s">
        <v>89</v>
      </c>
      <c r="T43" t="s">
        <v>90</v>
      </c>
      <c r="U43" t="s">
        <v>89</v>
      </c>
      <c r="V43" t="s">
        <v>90</v>
      </c>
      <c r="W43" t="s">
        <v>89</v>
      </c>
      <c r="X43" t="s">
        <v>90</v>
      </c>
      <c r="Z43" t="s">
        <v>78</v>
      </c>
      <c r="AA43">
        <v>70</v>
      </c>
      <c r="AB43">
        <v>140</v>
      </c>
      <c r="AD43" t="s">
        <v>78</v>
      </c>
      <c r="AE43">
        <v>70</v>
      </c>
      <c r="AF43">
        <v>140</v>
      </c>
      <c r="AH43" t="s">
        <v>82</v>
      </c>
      <c r="AI43">
        <v>-4.6253652950584172</v>
      </c>
      <c r="AL43" t="s">
        <v>82</v>
      </c>
      <c r="AM43">
        <v>-1.9187822591587638</v>
      </c>
    </row>
    <row r="44" spans="1:4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0.94243608649949095</v>
      </c>
      <c r="R44">
        <f>TDIST(ABS(Q44),68,2)</f>
        <v>0.34930569843384818</v>
      </c>
      <c r="S44">
        <f>S39*SQRT(138)/SQRT(1-S39^2)</f>
        <v>-4.8020388151525921</v>
      </c>
      <c r="T44">
        <f>TDIST(ABS(S44),138,2)</f>
        <v>4.0358912333749743E-6</v>
      </c>
      <c r="U44">
        <f>T39*SQRT(68)/SQRT(1-T39^2)</f>
        <v>1.1152699015368417</v>
      </c>
      <c r="V44">
        <f>TDIST(ABS(U44),68,2)</f>
        <v>0.26866075819578356</v>
      </c>
      <c r="W44">
        <f>U39*SQRT(138)/SQRT(1-U39^2)</f>
        <v>-5.4165150382334701</v>
      </c>
      <c r="X44">
        <f>TDIST(ABS(W44),138,2)</f>
        <v>2.6258156633700924E-7</v>
      </c>
      <c r="Z44" t="s">
        <v>79</v>
      </c>
      <c r="AA44">
        <v>30.609886865945459</v>
      </c>
      <c r="AD44" t="s">
        <v>79</v>
      </c>
      <c r="AE44">
        <v>142.86575594863945</v>
      </c>
      <c r="AH44" t="s">
        <v>83</v>
      </c>
      <c r="AI44">
        <v>3.300493301231094E-6</v>
      </c>
      <c r="AL44" t="s">
        <v>83</v>
      </c>
      <c r="AM44">
        <v>2.8693520881714868E-2</v>
      </c>
    </row>
    <row r="45" spans="1:4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105</v>
      </c>
      <c r="S45" t="s">
        <v>106</v>
      </c>
      <c r="U45" t="s">
        <v>107</v>
      </c>
      <c r="W45" t="s">
        <v>108</v>
      </c>
      <c r="Z45" t="s">
        <v>80</v>
      </c>
      <c r="AA45">
        <v>0</v>
      </c>
      <c r="AD45" t="s">
        <v>80</v>
      </c>
      <c r="AE45">
        <v>0</v>
      </c>
      <c r="AH45" t="s">
        <v>84</v>
      </c>
      <c r="AI45">
        <v>1.6522841441887575</v>
      </c>
      <c r="AL45" t="s">
        <v>84</v>
      </c>
      <c r="AM45">
        <v>1.6576508993552355</v>
      </c>
    </row>
    <row r="46" spans="1:4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89</v>
      </c>
      <c r="R46" t="s">
        <v>90</v>
      </c>
      <c r="S46" t="s">
        <v>89</v>
      </c>
      <c r="T46" t="s">
        <v>90</v>
      </c>
      <c r="U46" t="s">
        <v>89</v>
      </c>
      <c r="V46" t="s">
        <v>90</v>
      </c>
      <c r="W46" t="s">
        <v>89</v>
      </c>
      <c r="X46" t="s">
        <v>90</v>
      </c>
      <c r="Z46" t="s">
        <v>81</v>
      </c>
      <c r="AA46">
        <v>208</v>
      </c>
      <c r="AD46" t="s">
        <v>81</v>
      </c>
      <c r="AE46">
        <v>208</v>
      </c>
      <c r="AH46" t="s">
        <v>85</v>
      </c>
      <c r="AI46">
        <v>6.6009866024621881E-6</v>
      </c>
      <c r="AL46" t="s">
        <v>85</v>
      </c>
      <c r="AM46">
        <v>5.7387041763429736E-2</v>
      </c>
    </row>
    <row r="47" spans="1:40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-5.1644111681002718</v>
      </c>
      <c r="R47">
        <f>TDIST(ABS(Q47),68,2)</f>
        <v>2.2827774369980245E-6</v>
      </c>
      <c r="S47">
        <f>S40*SQRT(138)/SQRT(1-S40^2)</f>
        <v>3.2872369691655172</v>
      </c>
      <c r="T47">
        <f>TDIST(ABS(S47),138,2)</f>
        <v>1.2833443633008305E-3</v>
      </c>
      <c r="U47">
        <f>T40*SQRT(68)/SQRT(1-T40^2)</f>
        <v>-3.7982792465696513</v>
      </c>
      <c r="V47">
        <f>TDIST(ABS(U47),68,2)</f>
        <v>3.1329319493972769E-4</v>
      </c>
      <c r="W47">
        <f>U40*SQRT(138)/SQRT(1-U40^2)</f>
        <v>2.2415436226461023</v>
      </c>
      <c r="X47">
        <f>TDIST(ABS(W47),138,2)</f>
        <v>2.6587291690547122E-2</v>
      </c>
      <c r="Z47" t="s">
        <v>82</v>
      </c>
      <c r="AA47">
        <v>-3.8703049640889273</v>
      </c>
      <c r="AD47" t="s">
        <v>82</v>
      </c>
      <c r="AE47">
        <v>-2.0234472903577938</v>
      </c>
      <c r="AH47" s="13" t="s">
        <v>86</v>
      </c>
      <c r="AI47" s="13">
        <v>1.9715466694452266</v>
      </c>
      <c r="AJ47" s="13"/>
      <c r="AL47" s="13" t="s">
        <v>86</v>
      </c>
      <c r="AM47" s="13">
        <v>1.9799304050824413</v>
      </c>
      <c r="AN47" s="13"/>
    </row>
    <row r="48" spans="1:4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83</v>
      </c>
      <c r="AA48">
        <v>7.2735701855682812E-5</v>
      </c>
      <c r="AD48" t="s">
        <v>83</v>
      </c>
      <c r="AE48">
        <v>2.2153237402503342E-2</v>
      </c>
    </row>
    <row r="49" spans="1:32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t="s">
        <v>84</v>
      </c>
      <c r="AA49">
        <v>1.6522123760661407</v>
      </c>
      <c r="AD49" t="s">
        <v>84</v>
      </c>
      <c r="AE49">
        <v>1.6522123760661407</v>
      </c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Z50" t="s">
        <v>85</v>
      </c>
      <c r="AA50">
        <v>1.4547140371136562E-4</v>
      </c>
      <c r="AD50" t="s">
        <v>85</v>
      </c>
      <c r="AE50">
        <v>4.4306474805006685E-2</v>
      </c>
    </row>
    <row r="51" spans="1:32" ht="14.25" thickBot="1" x14ac:dyDescent="0.2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  <c r="Z51" s="13" t="s">
        <v>86</v>
      </c>
      <c r="AA51" s="13">
        <v>1.9714346585202402</v>
      </c>
      <c r="AB51" s="13"/>
      <c r="AD51" s="13" t="s">
        <v>86</v>
      </c>
      <c r="AE51" s="13">
        <v>1.9714346585202402</v>
      </c>
      <c r="AF51" s="13"/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3" x14ac:dyDescent="0.15">
      <c r="A65" s="2" t="s">
        <v>45</v>
      </c>
      <c r="B65">
        <f t="shared" ref="B65:O65" si="0">CORREL(B2:B16,B35:B49)</f>
        <v>-0.23111548770392676</v>
      </c>
      <c r="C65">
        <f t="shared" si="0"/>
        <v>0.47827186182927484</v>
      </c>
      <c r="D65">
        <f t="shared" si="0"/>
        <v>6.0078962247787845E-2</v>
      </c>
      <c r="E65">
        <f t="shared" si="0"/>
        <v>-0.74204442456129815</v>
      </c>
      <c r="F65">
        <f t="shared" si="0"/>
        <v>-0.44172348867713018</v>
      </c>
      <c r="G65">
        <f t="shared" si="0"/>
        <v>0.37830781358699928</v>
      </c>
      <c r="H65">
        <f t="shared" si="0"/>
        <v>-0.66852274348177987</v>
      </c>
      <c r="I65">
        <f t="shared" si="0"/>
        <v>0.15471824597807948</v>
      </c>
      <c r="J65">
        <f t="shared" si="0"/>
        <v>5.0974923633783286E-3</v>
      </c>
      <c r="K65">
        <f t="shared" si="0"/>
        <v>2.0970218607121376E-2</v>
      </c>
      <c r="L65">
        <f t="shared" si="0"/>
        <v>0.3516115496039135</v>
      </c>
      <c r="M65">
        <f t="shared" si="0"/>
        <v>-0.71079051498850476</v>
      </c>
      <c r="N65">
        <f t="shared" si="0"/>
        <v>-0.65340499785489858</v>
      </c>
      <c r="O65">
        <f t="shared" si="0"/>
        <v>-0.5636099666929596</v>
      </c>
    </row>
    <row r="66" spans="1:23" x14ac:dyDescent="0.15">
      <c r="A66" s="2" t="s">
        <v>46</v>
      </c>
      <c r="B66">
        <f t="shared" ref="B66:O66" si="1">CORREL(B17:B31,B50:B64)</f>
        <v>0.10825713209594219</v>
      </c>
      <c r="C66">
        <f t="shared" si="1"/>
        <v>-0.75006636214263522</v>
      </c>
      <c r="D66">
        <f t="shared" si="1"/>
        <v>-0.63464256424484455</v>
      </c>
      <c r="E66">
        <f t="shared" si="1"/>
        <v>-0.65844874386262986</v>
      </c>
      <c r="F66">
        <f t="shared" si="1"/>
        <v>-0.74239213867887999</v>
      </c>
      <c r="G66">
        <f t="shared" si="1"/>
        <v>-0.43752373233784936</v>
      </c>
      <c r="H66">
        <f t="shared" si="1"/>
        <v>-0.52947733814072517</v>
      </c>
      <c r="I66">
        <f t="shared" si="1"/>
        <v>0.55951040545380104</v>
      </c>
      <c r="J66">
        <f t="shared" si="1"/>
        <v>0.37962076522581006</v>
      </c>
      <c r="K66">
        <f t="shared" si="1"/>
        <v>-0.70482166784677769</v>
      </c>
      <c r="L66">
        <f t="shared" si="1"/>
        <v>0.3055194938833668</v>
      </c>
      <c r="M66">
        <f t="shared" si="1"/>
        <v>0.44964211809147436</v>
      </c>
      <c r="N66">
        <f t="shared" si="1"/>
        <v>-0.52743209558537418</v>
      </c>
      <c r="O66">
        <f t="shared" si="1"/>
        <v>-0.66654461962411859</v>
      </c>
    </row>
    <row r="67" spans="1:23" x14ac:dyDescent="0.15">
      <c r="A67" s="2"/>
    </row>
    <row r="68" spans="1:23" x14ac:dyDescent="0.15">
      <c r="Q68" s="3" t="s">
        <v>93</v>
      </c>
      <c r="R68" s="3" t="s">
        <v>89</v>
      </c>
      <c r="S68" s="3" t="s">
        <v>90</v>
      </c>
      <c r="T68" s="3" t="s">
        <v>94</v>
      </c>
      <c r="U68" s="3" t="s">
        <v>89</v>
      </c>
      <c r="V68" s="3" t="s">
        <v>90</v>
      </c>
      <c r="W68" s="3"/>
    </row>
    <row r="69" spans="1:23" ht="14.25" x14ac:dyDescent="0.2">
      <c r="A69" s="2" t="s">
        <v>47</v>
      </c>
      <c r="Q69" s="15">
        <v>-0.30399999999999999</v>
      </c>
      <c r="R69" s="3">
        <f>Q69*SQRT(210)/SQRT(1-Q69^2)</f>
        <v>-4.6242341374713369</v>
      </c>
      <c r="S69" s="3">
        <f>TDIST(ABS(R69),210,2)</f>
        <v>6.5666887600815134E-6</v>
      </c>
      <c r="T69" s="15">
        <v>-0.53400000000000003</v>
      </c>
      <c r="U69" s="3">
        <f>T69*SQRT(210)/SQRT(1-T69^2)</f>
        <v>-9.1526165146316298</v>
      </c>
      <c r="V69" s="3">
        <f>TDIST(ABS(U69),210,2)</f>
        <v>5.011444101723603E-17</v>
      </c>
      <c r="W69" s="3"/>
    </row>
    <row r="70" spans="1:23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Q70" s="3" t="s">
        <v>95</v>
      </c>
      <c r="R70" s="3" t="s">
        <v>89</v>
      </c>
      <c r="S70" s="3" t="s">
        <v>90</v>
      </c>
      <c r="T70" s="3" t="s">
        <v>96</v>
      </c>
      <c r="U70" s="3" t="s">
        <v>89</v>
      </c>
      <c r="V70" s="3" t="s">
        <v>90</v>
      </c>
      <c r="W70" s="3"/>
    </row>
    <row r="71" spans="1:23" ht="14.25" x14ac:dyDescent="0.2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Q71" s="15">
        <v>-0.4</v>
      </c>
      <c r="R71" s="3">
        <f>Q71*SQRT(210)/SQRT(1-Q71^2)</f>
        <v>-6.324555320336759</v>
      </c>
      <c r="S71" s="3">
        <f>TDIST(ABS(R71),210,2)</f>
        <v>1.5045764977269897E-9</v>
      </c>
      <c r="T71" s="15">
        <f xml:space="preserve">  -0.572</f>
        <v>-0.57199999999999995</v>
      </c>
      <c r="U71" s="3">
        <f>T71*SQRT(210)/SQRT(1-T71^2)</f>
        <v>-10.105493354285542</v>
      </c>
      <c r="V71" s="3">
        <f>TDIST(ABS(U71),210,2)</f>
        <v>8.0893558444898496E-20</v>
      </c>
      <c r="W71" s="3"/>
    </row>
    <row r="72" spans="1:23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  <c r="Q72" s="3"/>
      <c r="R72" s="3"/>
      <c r="S72" s="3"/>
      <c r="T72" s="3"/>
      <c r="U72" s="3"/>
      <c r="V72" s="3"/>
      <c r="W72" s="3"/>
    </row>
    <row r="73" spans="1:23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  <c r="Q73" s="3" t="s">
        <v>97</v>
      </c>
      <c r="R73" s="3" t="s">
        <v>89</v>
      </c>
      <c r="S73" s="3" t="s">
        <v>90</v>
      </c>
      <c r="T73" s="3" t="s">
        <v>98</v>
      </c>
      <c r="U73" s="3" t="s">
        <v>89</v>
      </c>
      <c r="V73" s="3" t="s">
        <v>90</v>
      </c>
      <c r="W73" s="3"/>
    </row>
    <row r="74" spans="1:23" ht="14.25" x14ac:dyDescent="0.2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  <c r="Q74" s="15">
        <v>-0.588734624235977</v>
      </c>
      <c r="R74" s="3">
        <f>Q74*SQRT(210)/SQRT(1-Q74^2)</f>
        <v>-10.554616820283325</v>
      </c>
      <c r="S74" s="3">
        <f>TDIST(ABS(R74),210,2)</f>
        <v>3.629375630862219E-21</v>
      </c>
      <c r="T74" s="15">
        <v>-0.58968911613817199</v>
      </c>
      <c r="U74" s="3">
        <f>T74*SQRT(210)/SQRT(1-T74^2)</f>
        <v>-10.580839836524348</v>
      </c>
      <c r="V74" s="3">
        <f>TDIST(ABS(U74),210,2)</f>
        <v>3.0239758115168906E-21</v>
      </c>
      <c r="W74" s="3"/>
    </row>
    <row r="75" spans="1:23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  <c r="Q75" s="3" t="s">
        <v>99</v>
      </c>
      <c r="R75" s="3" t="s">
        <v>89</v>
      </c>
      <c r="S75" s="3" t="s">
        <v>90</v>
      </c>
      <c r="T75" s="3" t="s">
        <v>100</v>
      </c>
      <c r="U75" s="3" t="s">
        <v>89</v>
      </c>
      <c r="V75" s="3" t="s">
        <v>90</v>
      </c>
      <c r="W75" s="3"/>
    </row>
    <row r="76" spans="1:23" ht="14.25" x14ac:dyDescent="0.2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Q76" s="15">
        <v>-0.58655323855902597</v>
      </c>
      <c r="R76" s="3">
        <f>Q76*SQRT(210)/SQRT(1-Q76^2)</f>
        <v>-10.494940052519176</v>
      </c>
      <c r="S76" s="3">
        <f>TDIST(ABS(R76),210,2)</f>
        <v>5.4951444347583282E-21</v>
      </c>
      <c r="T76" s="15">
        <v>-0.55701374331563702</v>
      </c>
      <c r="U76" s="3">
        <f>T76*SQRT(210)/SQRT(1-T76^2)</f>
        <v>-9.7192825727957608</v>
      </c>
      <c r="V76" s="3">
        <f>TDIST(ABS(U76),210,2)</f>
        <v>1.1263912167656017E-18</v>
      </c>
      <c r="W76" s="3"/>
    </row>
    <row r="77" spans="1:23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3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3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3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0.13689633233953277</v>
      </c>
      <c r="C101">
        <f t="shared" si="2"/>
        <v>0.46924093990657745</v>
      </c>
      <c r="D101">
        <f t="shared" si="2"/>
        <v>0.16468005069273164</v>
      </c>
      <c r="E101">
        <f t="shared" si="2"/>
        <v>-0.73606060007329566</v>
      </c>
      <c r="F101">
        <f t="shared" si="2"/>
        <v>-0.54828512784011307</v>
      </c>
      <c r="G101">
        <f t="shared" si="2"/>
        <v>0.36240565139634989</v>
      </c>
      <c r="H101">
        <f t="shared" si="2"/>
        <v>-0.8560597451732016</v>
      </c>
      <c r="I101">
        <f t="shared" si="2"/>
        <v>-6.7921697970599493E-2</v>
      </c>
      <c r="J101">
        <f t="shared" si="2"/>
        <v>9.6379267392366449E-2</v>
      </c>
      <c r="K101">
        <f t="shared" si="2"/>
        <v>-4.4308232647364026E-2</v>
      </c>
      <c r="L101">
        <f t="shared" si="2"/>
        <v>5.6358400530429613E-2</v>
      </c>
      <c r="M101">
        <f t="shared" si="2"/>
        <v>-0.79105263564939421</v>
      </c>
      <c r="N101">
        <f t="shared" si="2"/>
        <v>-0.67256565357842513</v>
      </c>
      <c r="O101">
        <f t="shared" si="2"/>
        <v>-0.56648783383942947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2023-02-01T09:42:00Z</dcterms:created>
  <dcterms:modified xsi:type="dcterms:W3CDTF">2023-02-12T10:31:16Z</dcterms:modified>
</cp:coreProperties>
</file>