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20" documentId="13_ncr:1_{71FCD244-418B-4E95-8475-6A6A892E6276}" xr6:coauthVersionLast="47" xr6:coauthVersionMax="47" xr10:uidLastSave="{D97E1F34-EC55-458B-8363-CBAACB04038E}"/>
  <bookViews>
    <workbookView xWindow="4065" yWindow="2280" windowWidth="19740" windowHeight="11220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4" i="1" l="1"/>
  <c r="AA34" i="1"/>
  <c r="Z34" i="1"/>
  <c r="Y34" i="1"/>
  <c r="AB33" i="1"/>
  <c r="AA33" i="1"/>
  <c r="Z33" i="1"/>
  <c r="Y33" i="1"/>
  <c r="AB32" i="1"/>
  <c r="AA32" i="1"/>
  <c r="Z32" i="1"/>
  <c r="Y32" i="1"/>
  <c r="AB31" i="1"/>
  <c r="AA31" i="1"/>
  <c r="Z31" i="1"/>
  <c r="Y31" i="1"/>
  <c r="AB30" i="1"/>
  <c r="AA30" i="1"/>
  <c r="Z30" i="1"/>
  <c r="AB24" i="1"/>
  <c r="AA24" i="1"/>
  <c r="Z24" i="1"/>
  <c r="Y24" i="1"/>
  <c r="AB23" i="1"/>
  <c r="AA23" i="1"/>
  <c r="Z23" i="1"/>
  <c r="Y23" i="1"/>
  <c r="AB22" i="1"/>
  <c r="AA22" i="1"/>
  <c r="Z22" i="1"/>
  <c r="Y22" i="1"/>
  <c r="AB21" i="1"/>
  <c r="Z21" i="1"/>
  <c r="Y21" i="1"/>
  <c r="W44" i="2"/>
  <c r="X44" i="2" s="1"/>
  <c r="W47" i="2"/>
  <c r="X47" i="2" s="1"/>
  <c r="V47" i="2"/>
  <c r="U47" i="2"/>
  <c r="T47" i="2"/>
  <c r="S47" i="2"/>
  <c r="R47" i="2"/>
  <c r="Q47" i="2"/>
  <c r="U44" i="2"/>
  <c r="V44" i="2" s="1"/>
  <c r="S44" i="2"/>
  <c r="T44" i="2" s="1"/>
  <c r="R44" i="2"/>
  <c r="Q44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U40" i="2" l="1"/>
  <c r="T40" i="2"/>
  <c r="S40" i="2"/>
  <c r="R40" i="2"/>
  <c r="U39" i="2"/>
  <c r="T39" i="2"/>
  <c r="S39" i="2"/>
  <c r="R39" i="2"/>
  <c r="R34" i="2"/>
  <c r="V35" i="2" s="1"/>
  <c r="W35" i="2" s="1"/>
  <c r="Q34" i="2"/>
  <c r="T35" i="2" s="1"/>
  <c r="U35" i="2" s="1"/>
  <c r="R32" i="2"/>
  <c r="V32" i="2" s="1"/>
  <c r="W32" i="2" s="1"/>
  <c r="Q32" i="2"/>
  <c r="T32" i="2" s="1"/>
  <c r="U32" i="2" s="1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S33" i="1"/>
  <c r="S23" i="1"/>
  <c r="S21" i="1"/>
  <c r="T21" i="1"/>
  <c r="V21" i="1"/>
  <c r="S22" i="1"/>
  <c r="T22" i="1"/>
  <c r="U22" i="1"/>
  <c r="V22" i="1"/>
  <c r="T23" i="1"/>
  <c r="U23" i="1"/>
  <c r="V23" i="1"/>
  <c r="S24" i="1"/>
  <c r="T24" i="1"/>
  <c r="U24" i="1"/>
  <c r="V24" i="1"/>
  <c r="T30" i="1"/>
  <c r="U30" i="1"/>
  <c r="V30" i="1"/>
  <c r="S31" i="1"/>
  <c r="T31" i="1"/>
  <c r="U31" i="1"/>
  <c r="V31" i="1"/>
  <c r="S32" i="1"/>
  <c r="T32" i="1"/>
  <c r="U32" i="1"/>
  <c r="V32" i="1"/>
  <c r="T33" i="1"/>
  <c r="U33" i="1"/>
  <c r="V33" i="1"/>
  <c r="S34" i="1"/>
  <c r="T34" i="1"/>
  <c r="U34" i="1"/>
  <c r="V34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</calcChain>
</file>

<file path=xl/sharedStrings.xml><?xml version="1.0" encoding="utf-8"?>
<sst xmlns="http://schemas.openxmlformats.org/spreadsheetml/2006/main" count="422" uniqueCount="111">
  <si>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</si>
  <si>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</si>
  <si>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</si>
  <si>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</si>
  <si>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</si>
  <si>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</si>
  <si>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</si>
  <si>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</si>
  <si>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</si>
  <si>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</si>
  <si>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</si>
  <si>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</si>
  <si>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</si>
  <si>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</si>
  <si>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</si>
  <si>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</si>
  <si>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</si>
  <si>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</si>
  <si>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</si>
  <si>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</si>
  <si>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</si>
  <si>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</si>
  <si>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</si>
  <si>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</si>
  <si>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</si>
  <si>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</si>
  <si>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</si>
  <si>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</si>
  <si>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</si>
  <si>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</si>
  <si>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</si>
  <si>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</si>
  <si>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</si>
  <si>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</si>
  <si>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</si>
  <si>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</si>
  <si>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</si>
  <si>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</si>
  <si>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</si>
  <si>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</si>
  <si>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</si>
  <si>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</si>
  <si>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</si>
  <si>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</si>
  <si>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</si>
  <si>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post</t>
    <phoneticPr fontId="2"/>
  </si>
  <si>
    <t>p_correl</t>
    <phoneticPr fontId="2"/>
  </si>
  <si>
    <t>i_correl</t>
    <phoneticPr fontId="2"/>
  </si>
  <si>
    <t>事前</t>
    <rPh sb="0" eb="2">
      <t>ジゼン</t>
    </rPh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</si>
  <si>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</si>
  <si>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</si>
  <si>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</si>
  <si>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</si>
  <si>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</si>
  <si>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</si>
  <si>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</si>
  <si>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</si>
  <si>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</si>
  <si>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</si>
  <si>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</si>
  <si>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</si>
  <si>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</si>
  <si>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</si>
  <si>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</si>
  <si>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</si>
  <si>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課題ごと</t>
    <rPh sb="0" eb="2">
      <t>カダイ</t>
    </rPh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</si>
  <si>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</si>
  <si>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</si>
  <si>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</si>
  <si>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</si>
  <si>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</si>
  <si>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</si>
  <si>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</si>
  <si>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</si>
  <si>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</si>
  <si>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</si>
  <si>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難易毎</t>
    <rPh sb="0" eb="2">
      <t>ナンイ</t>
    </rPh>
    <rPh sb="2" eb="3">
      <t>マイ</t>
    </rPh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</si>
  <si>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</si>
  <si>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</si>
  <si>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</si>
  <si>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</si>
  <si>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</si>
  <si>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</si>
  <si>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</si>
  <si>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</si>
  <si>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</si>
  <si>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</si>
  <si>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</si>
  <si>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</si>
  <si>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</si>
  <si>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</si>
  <si>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</si>
  <si>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</si>
  <si>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</si>
  <si>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</si>
  <si>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</si>
  <si>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</si>
  <si>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</si>
  <si>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</si>
  <si>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</si>
  <si>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</si>
  <si>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</si>
  <si>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</si>
  <si>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通常：事前</t>
    <rPh sb="0" eb="2">
      <t>ツウジョウ</t>
    </rPh>
    <rPh sb="3" eb="5">
      <t>ジゼン</t>
    </rPh>
    <phoneticPr fontId="2"/>
  </si>
  <si>
    <t>通常：事後</t>
    <rPh sb="0" eb="2">
      <t>ツウジョウ</t>
    </rPh>
    <rPh sb="3" eb="5">
      <t>ジゴ</t>
    </rPh>
    <phoneticPr fontId="2"/>
  </si>
  <si>
    <t>SSE:レベル1</t>
    <phoneticPr fontId="2"/>
  </si>
  <si>
    <t>SSE:レベル2</t>
  </si>
  <si>
    <t>SSE:レベル3</t>
  </si>
  <si>
    <t>SSE:レベル4</t>
  </si>
  <si>
    <t>SSE:レベル5</t>
  </si>
  <si>
    <t>t-検定: 分散が等しくないと仮定した２標本による検定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</si>
</sst>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177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SSE:レベル1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8DC-4618-A31B-550787D86B84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SSE:レベル2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0.2666526176624972</c:v>
                  </c:pt>
                  <c:pt idx="3">
                    <c:v>4.1365993245780497E-2</c:v>
                  </c:pt>
                </c:numCache>
              </c:numRef>
            </c:plus>
            <c:min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0.2666526176624972</c:v>
                  </c:pt>
                  <c:pt idx="3">
                    <c:v>4.1365993245780497E-2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1.049536588060674</c:v>
                </c:pt>
                <c:pt idx="1">
                  <c:v>1.3918214264900877</c:v>
                </c:pt>
                <c:pt idx="3">
                  <c:v>1.3809728581772287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C-4618-A31B-550787D86B84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SSE:レベル3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Sheet1!$Y$22:$AB$22</c:f>
                <c:numCache>
                  <c:formatCode>General</c:formatCode>
                  <c:ptCount val="4"/>
                  <c:pt idx="0">
                    <c:v>0.18461802008612918</c:v>
                  </c:pt>
                  <c:pt idx="1">
                    <c:v>0.35572887794840941</c:v>
                  </c:pt>
                  <c:pt idx="2">
                    <c:v>0.18238933868251231</c:v>
                  </c:pt>
                  <c:pt idx="3">
                    <c:v>0.389206016827918</c:v>
                  </c:pt>
                </c:numCache>
              </c:numRef>
            </c:plus>
            <c:minus>
              <c:numRef>
                <c:f>Sheet1!$Y$22:$AB$22</c:f>
                <c:numCache>
                  <c:formatCode>General</c:formatCode>
                  <c:ptCount val="4"/>
                  <c:pt idx="0">
                    <c:v>0.18461802008612918</c:v>
                  </c:pt>
                  <c:pt idx="1">
                    <c:v>0.35572887794840941</c:v>
                  </c:pt>
                  <c:pt idx="2">
                    <c:v>0.18238933868251231</c:v>
                  </c:pt>
                  <c:pt idx="3">
                    <c:v>0.389206016827918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0.97259803043120918</c:v>
                </c:pt>
                <c:pt idx="1">
                  <c:v>1.2194224164641296</c:v>
                </c:pt>
                <c:pt idx="2">
                  <c:v>1.1618590544909875</c:v>
                </c:pt>
                <c:pt idx="3">
                  <c:v>1.2654056492405064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DC-4618-A31B-550787D86B84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SSE:レベル4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Sheet1!$Y$23:$AB$23</c:f>
                <c:numCache>
                  <c:formatCode>General</c:formatCode>
                  <c:ptCount val="4"/>
                  <c:pt idx="0">
                    <c:v>0.36906329157791934</c:v>
                  </c:pt>
                  <c:pt idx="1">
                    <c:v>0.30981642975946599</c:v>
                  </c:pt>
                  <c:pt idx="2">
                    <c:v>0.3555225714027605</c:v>
                  </c:pt>
                  <c:pt idx="3">
                    <c:v>0.3310009480053735</c:v>
                  </c:pt>
                </c:numCache>
              </c:numRef>
            </c:plus>
            <c:minus>
              <c:numRef>
                <c:f>Sheet1!$Y$23:$AB$23</c:f>
                <c:numCache>
                  <c:formatCode>General</c:formatCode>
                  <c:ptCount val="4"/>
                  <c:pt idx="0">
                    <c:v>0.36906329157791934</c:v>
                  </c:pt>
                  <c:pt idx="1">
                    <c:v>0.30981642975946599</c:v>
                  </c:pt>
                  <c:pt idx="2">
                    <c:v>0.3555225714027605</c:v>
                  </c:pt>
                  <c:pt idx="3">
                    <c:v>0.3310009480053735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1.0049795813600078</c:v>
                </c:pt>
                <c:pt idx="1">
                  <c:v>1.1268387302718741</c:v>
                </c:pt>
                <c:pt idx="2">
                  <c:v>0.90395284369255657</c:v>
                </c:pt>
                <c:pt idx="3">
                  <c:v>1.130497490019283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DC-4618-A31B-550787D86B84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SSE:レベル5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Sheet1!$Y$24:$AB$24</c:f>
                <c:numCache>
                  <c:formatCode>General</c:formatCode>
                  <c:ptCount val="4"/>
                  <c:pt idx="0">
                    <c:v>0.42040221988023585</c:v>
                  </c:pt>
                  <c:pt idx="1">
                    <c:v>0.37920542410795793</c:v>
                  </c:pt>
                  <c:pt idx="2">
                    <c:v>0.42603823871455881</c:v>
                  </c:pt>
                  <c:pt idx="3">
                    <c:v>0.33530430635180114</c:v>
                  </c:pt>
                </c:numCache>
              </c:numRef>
            </c:plus>
            <c:minus>
              <c:numRef>
                <c:f>Sheet1!$Y$24:$AB$24</c:f>
                <c:numCache>
                  <c:formatCode>General</c:formatCode>
                  <c:ptCount val="4"/>
                  <c:pt idx="0">
                    <c:v>0.42040221988023585</c:v>
                  </c:pt>
                  <c:pt idx="1">
                    <c:v>0.37920542410795793</c:v>
                  </c:pt>
                  <c:pt idx="2">
                    <c:v>0.42603823871455881</c:v>
                  </c:pt>
                  <c:pt idx="3">
                    <c:v>0.33530430635180114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0.96711430920399699</c:v>
                </c:pt>
                <c:pt idx="1">
                  <c:v>1.0157472489135204</c:v>
                </c:pt>
                <c:pt idx="2">
                  <c:v>0.95264593770653672</c:v>
                </c:pt>
                <c:pt idx="3">
                  <c:v>1.0544867437801435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DC-4618-A31B-550787D8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924015"/>
        <c:axId val="1755925263"/>
      </c:barChart>
      <c:catAx>
        <c:axId val="175592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5925263"/>
        <c:crosses val="autoZero"/>
        <c:auto val="1"/>
        <c:lblAlgn val="ctr"/>
        <c:lblOffset val="100"/>
        <c:noMultiLvlLbl val="0"/>
      </c:catAx>
      <c:valAx>
        <c:axId val="1755925263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ベクトル間の角度</a:t>
                </a:r>
                <a:r>
                  <a:rPr lang="en-US" altLang="ja-JP"/>
                  <a:t>[°]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59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SSE:レベル1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Sheet1!$Y$30:$AB$30</c:f>
                <c:numCache>
                  <c:formatCode>General</c:formatCode>
                  <c:ptCount val="4"/>
                  <c:pt idx="1">
                    <c:v>0.52511804476559432</c:v>
                  </c:pt>
                  <c:pt idx="2">
                    <c:v>0</c:v>
                  </c:pt>
                  <c:pt idx="3">
                    <c:v>0.68883604405015941</c:v>
                  </c:pt>
                </c:numCache>
              </c:numRef>
            </c:plus>
            <c:minus>
              <c:numRef>
                <c:f>Sheet1!$Y$30:$AB$30</c:f>
                <c:numCache>
                  <c:formatCode>General</c:formatCode>
                  <c:ptCount val="4"/>
                  <c:pt idx="1">
                    <c:v>0.52511804476559432</c:v>
                  </c:pt>
                  <c:pt idx="2">
                    <c:v>0</c:v>
                  </c:pt>
                  <c:pt idx="3">
                    <c:v>0.68883604405015941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1.275585002232815</c:v>
                </c:pt>
                <c:pt idx="2">
                  <c:v>1.2537256797572021</c:v>
                </c:pt>
                <c:pt idx="3">
                  <c:v>0.97278149088562671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B-4D41-90EA-6FF7DE23F26F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SSE:レベル2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Sheet1!$Y$31:$AB$31</c:f>
                <c:numCache>
                  <c:formatCode>General</c:formatCode>
                  <c:ptCount val="4"/>
                  <c:pt idx="0">
                    <c:v>0.9003163679362749</c:v>
                  </c:pt>
                  <c:pt idx="1">
                    <c:v>0.38453167240367631</c:v>
                  </c:pt>
                  <c:pt idx="2">
                    <c:v>0.68714187775614222</c:v>
                  </c:pt>
                  <c:pt idx="3">
                    <c:v>0.37500483164118303</c:v>
                  </c:pt>
                </c:numCache>
              </c:numRef>
            </c:plus>
            <c:minus>
              <c:numRef>
                <c:f>Sheet1!$Y$31:$AB$31</c:f>
                <c:numCache>
                  <c:formatCode>General</c:formatCode>
                  <c:ptCount val="4"/>
                  <c:pt idx="0">
                    <c:v>0.9003163679362749</c:v>
                  </c:pt>
                  <c:pt idx="1">
                    <c:v>0.38453167240367631</c:v>
                  </c:pt>
                  <c:pt idx="2">
                    <c:v>0.68714187775614222</c:v>
                  </c:pt>
                  <c:pt idx="3">
                    <c:v>0.37500483164118303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1.7011044928684038</c:v>
                </c:pt>
                <c:pt idx="1">
                  <c:v>1.3898085364904036</c:v>
                </c:pt>
                <c:pt idx="2">
                  <c:v>1.0740266899350122</c:v>
                </c:pt>
                <c:pt idx="3">
                  <c:v>1.3864852950262225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B-4D41-90EA-6FF7DE23F26F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SSE:レベル3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Sheet1!$Y$32:$AB$32</c:f>
                <c:numCache>
                  <c:formatCode>General</c:formatCode>
                  <c:ptCount val="4"/>
                  <c:pt idx="0">
                    <c:v>0.53920450624001126</c:v>
                  </c:pt>
                  <c:pt idx="1">
                    <c:v>0.4612129944543284</c:v>
                  </c:pt>
                  <c:pt idx="2">
                    <c:v>0.5155154322300477</c:v>
                  </c:pt>
                  <c:pt idx="3">
                    <c:v>0.36654926838623003</c:v>
                  </c:pt>
                </c:numCache>
              </c:numRef>
            </c:plus>
            <c:minus>
              <c:numRef>
                <c:f>Sheet1!$Y$32:$AB$32</c:f>
                <c:numCache>
                  <c:formatCode>General</c:formatCode>
                  <c:ptCount val="4"/>
                  <c:pt idx="0">
                    <c:v>0.53920450624001126</c:v>
                  </c:pt>
                  <c:pt idx="1">
                    <c:v>0.4612129944543284</c:v>
                  </c:pt>
                  <c:pt idx="2">
                    <c:v>0.5155154322300477</c:v>
                  </c:pt>
                  <c:pt idx="3">
                    <c:v>0.36654926838623003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1.147636163968548</c:v>
                </c:pt>
                <c:pt idx="1">
                  <c:v>1.4000489322146918</c:v>
                </c:pt>
                <c:pt idx="2">
                  <c:v>1.2289132081679124</c:v>
                </c:pt>
                <c:pt idx="3">
                  <c:v>1.4773842401154373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B-4D41-90EA-6FF7DE23F26F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SSE:レベル4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Sheet1!$Y$33:$AB$33</c:f>
                <c:numCache>
                  <c:formatCode>General</c:formatCode>
                  <c:ptCount val="4"/>
                  <c:pt idx="0">
                    <c:v>0.56044718507481106</c:v>
                  </c:pt>
                  <c:pt idx="1">
                    <c:v>0.55595683189725265</c:v>
                  </c:pt>
                  <c:pt idx="2">
                    <c:v>0.55144624277981547</c:v>
                  </c:pt>
                  <c:pt idx="3">
                    <c:v>0.61835008566285565</c:v>
                  </c:pt>
                </c:numCache>
              </c:numRef>
            </c:plus>
            <c:minus>
              <c:numRef>
                <c:f>Sheet1!$Y$33:$AB$33</c:f>
                <c:numCache>
                  <c:formatCode>General</c:formatCode>
                  <c:ptCount val="4"/>
                  <c:pt idx="0">
                    <c:v>0.56044718507481106</c:v>
                  </c:pt>
                  <c:pt idx="1">
                    <c:v>0.55595683189725265</c:v>
                  </c:pt>
                  <c:pt idx="2">
                    <c:v>0.55144624277981547</c:v>
                  </c:pt>
                  <c:pt idx="3">
                    <c:v>0.61835008566285565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1.2158445862601559</c:v>
                </c:pt>
                <c:pt idx="1">
                  <c:v>1.43386172826963</c:v>
                </c:pt>
                <c:pt idx="2">
                  <c:v>1.2459703840677667</c:v>
                </c:pt>
                <c:pt idx="3">
                  <c:v>1.4287252388108849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9B-4D41-90EA-6FF7DE23F26F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SSE:レベル5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Sheet1!$Y$34:$AB$34</c:f>
                <c:numCache>
                  <c:formatCode>General</c:formatCode>
                  <c:ptCount val="4"/>
                  <c:pt idx="0">
                    <c:v>0.84952389011641416</c:v>
                  </c:pt>
                  <c:pt idx="1">
                    <c:v>0.69494989350337433</c:v>
                  </c:pt>
                  <c:pt idx="2">
                    <c:v>0.94094419348302094</c:v>
                  </c:pt>
                  <c:pt idx="3">
                    <c:v>0.71206228502941638</c:v>
                  </c:pt>
                </c:numCache>
              </c:numRef>
            </c:plus>
            <c:minus>
              <c:numRef>
                <c:f>Sheet1!$Y$34:$AB$34</c:f>
                <c:numCache>
                  <c:formatCode>General</c:formatCode>
                  <c:ptCount val="4"/>
                  <c:pt idx="0">
                    <c:v>0.84952389011641416</c:v>
                  </c:pt>
                  <c:pt idx="1">
                    <c:v>0.69494989350337433</c:v>
                  </c:pt>
                  <c:pt idx="2">
                    <c:v>0.94094419348302094</c:v>
                  </c:pt>
                  <c:pt idx="3">
                    <c:v>0.71206228502941638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1.031433337449184</c:v>
                </c:pt>
                <c:pt idx="1">
                  <c:v>1.5602106464310475</c:v>
                </c:pt>
                <c:pt idx="2">
                  <c:v>0.98194976627577912</c:v>
                </c:pt>
                <c:pt idx="3">
                  <c:v>1.3745915810332963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B-4D41-90EA-6FF7DE23F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434287"/>
        <c:axId val="1755430959"/>
      </c:barChart>
      <c:catAx>
        <c:axId val="17554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5430959"/>
        <c:crosses val="autoZero"/>
        <c:auto val="1"/>
        <c:lblAlgn val="ctr"/>
        <c:lblOffset val="100"/>
        <c:noMultiLvlLbl val="0"/>
      </c:catAx>
      <c:valAx>
        <c:axId val="17554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ベクトル間の角度</a:t>
                </a:r>
                <a:r>
                  <a:rPr lang="en-US" altLang="ja-JP"/>
                  <a:t>[°]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543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148829</xdr:colOff>
      <xdr:row>2</xdr:row>
      <xdr:rowOff>104774</xdr:rowOff>
    </xdr:from>
    <xdr:to>
      <xdr:col>27</xdr:col>
      <xdr:colOff>577454</xdr:colOff>
      <xdr:row>18</xdr:row>
      <xdr:rowOff>157161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B32CBA9-B05B-F2EE-7037-E76CB29F3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363139</xdr:colOff>
      <xdr:row>24</xdr:row>
      <xdr:rowOff>104774</xdr:rowOff>
    </xdr:from>
    <xdr:to>
      <xdr:col>28</xdr:col>
      <xdr:colOff>101202</xdr:colOff>
      <xdr:row>41</xdr:row>
      <xdr:rowOff>14287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F4354AE-9E8E-6223-01CB-85E0E024D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2"/>
  <sheetViews>
    <sheetView tabSelected="1" topLeftCell="M1" zoomScale="80" zoomScaleNormal="80" workbookViewId="0">
      <selection activeCell="AC27" sqref="AC27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 t="s">
        <v>14</v>
      </c>
      <c r="B2" s="5">
        <v>1.2899996206436399</v>
      </c>
      <c r="C2" s="6">
        <v>0.95798236600750497</v>
      </c>
      <c r="D2" s="6">
        <v>0.5358012746481019</v>
      </c>
      <c r="E2" s="6">
        <v>1.9123958869509781</v>
      </c>
      <c r="F2" s="6">
        <v>0.90234564120029981</v>
      </c>
      <c r="G2" s="6">
        <v>1.216134629737464</v>
      </c>
      <c r="H2" s="6">
        <v>0.86845527141771151</v>
      </c>
      <c r="I2" s="6">
        <v>1.6931392562945049</v>
      </c>
      <c r="J2" s="6">
        <v>0.66694714967470481</v>
      </c>
      <c r="K2" s="6">
        <v>0.86253642796515828</v>
      </c>
      <c r="L2" s="6">
        <v>0.56491557882761578</v>
      </c>
      <c r="M2" s="6">
        <v>0.60911251225999252</v>
      </c>
      <c r="N2" s="6">
        <v>0.6343206709802599</v>
      </c>
      <c r="O2" s="6">
        <v>1.1361953943384311</v>
      </c>
    </row>
    <row r="3" spans="1:15" x14ac:dyDescent="0.15">
      <c r="A3" s="1" t="s">
        <v>15</v>
      </c>
      <c r="B3" s="7">
        <v>0.97946971580847475</v>
      </c>
      <c r="C3">
        <v>1.1440524142902111</v>
      </c>
      <c r="D3">
        <v>1.3442483931735001</v>
      </c>
      <c r="E3">
        <v>2.2425435123517179</v>
      </c>
      <c r="F3">
        <v>0.52890621927626413</v>
      </c>
      <c r="G3">
        <v>1.528028156814188</v>
      </c>
      <c r="H3">
        <v>1.002977533326483</v>
      </c>
      <c r="I3">
        <v>1.678558390918093</v>
      </c>
      <c r="J3">
        <v>0.53842894184365175</v>
      </c>
      <c r="K3">
        <v>1.2400526172715469</v>
      </c>
      <c r="L3">
        <v>0.74723066611225863</v>
      </c>
      <c r="M3">
        <v>0.70769012203799431</v>
      </c>
      <c r="N3">
        <v>0.89013959279498989</v>
      </c>
      <c r="O3">
        <v>1.2145570794018561</v>
      </c>
    </row>
    <row r="4" spans="1:15" x14ac:dyDescent="0.15">
      <c r="A4" s="1" t="s">
        <v>16</v>
      </c>
      <c r="B4" s="7">
        <v>0.92969493860547847</v>
      </c>
      <c r="C4">
        <v>0.55617169618788231</v>
      </c>
      <c r="D4">
        <v>0.89600467394837569</v>
      </c>
      <c r="E4">
        <v>1.76512526843478</v>
      </c>
      <c r="F4">
        <v>0.32877772866054572</v>
      </c>
      <c r="G4">
        <v>1.7398168468281989</v>
      </c>
      <c r="H4">
        <v>0.58347839442820693</v>
      </c>
      <c r="I4">
        <v>0.60211822930447889</v>
      </c>
      <c r="J4">
        <v>0.7692522243971589</v>
      </c>
      <c r="K4">
        <v>1.33757169069213</v>
      </c>
      <c r="L4">
        <v>0.65210100711641583</v>
      </c>
      <c r="M4">
        <v>0.61834402323141635</v>
      </c>
      <c r="N4">
        <v>0.67802391822903596</v>
      </c>
      <c r="O4">
        <v>0.89815743605980136</v>
      </c>
    </row>
    <row r="5" spans="1:15" x14ac:dyDescent="0.15">
      <c r="A5" s="1" t="s">
        <v>17</v>
      </c>
      <c r="B5" s="7">
        <v>0.91330520942187765</v>
      </c>
      <c r="C5">
        <v>0.64951587117040321</v>
      </c>
      <c r="D5">
        <v>1.2971848936879169</v>
      </c>
      <c r="E5">
        <v>1.164405069158241</v>
      </c>
      <c r="F5">
        <v>0.41055053666821911</v>
      </c>
      <c r="G5">
        <v>1.184948536713603</v>
      </c>
      <c r="H5">
        <v>0.61376906212569871</v>
      </c>
      <c r="I5">
        <v>1.5585507119588951</v>
      </c>
      <c r="J5">
        <v>1.035630453330648</v>
      </c>
      <c r="K5">
        <v>1.2259905077664961</v>
      </c>
      <c r="L5">
        <v>0.55984615095407542</v>
      </c>
      <c r="M5">
        <v>1.032817236524614</v>
      </c>
      <c r="N5">
        <v>1.516151956529447</v>
      </c>
      <c r="O5">
        <v>0.83047880357784243</v>
      </c>
    </row>
    <row r="6" spans="1:15" ht="14.25" thickBot="1" x14ac:dyDescent="0.2">
      <c r="A6" s="1" t="s">
        <v>18</v>
      </c>
      <c r="B6" s="8">
        <v>0.70310965734397501</v>
      </c>
      <c r="C6" s="9">
        <v>0.42215904936996168</v>
      </c>
      <c r="D6" s="9">
        <v>1.049536588060674</v>
      </c>
      <c r="E6" s="9">
        <v>1.440694362629011</v>
      </c>
      <c r="F6" s="9">
        <v>0.58693477708227271</v>
      </c>
      <c r="G6" s="9">
        <v>0.92815730631862459</v>
      </c>
      <c r="H6" s="9">
        <v>0.63348734092050396</v>
      </c>
      <c r="I6" s="9">
        <v>1.096288809579631</v>
      </c>
      <c r="J6" s="9">
        <v>0.7138714794588592</v>
      </c>
      <c r="K6" s="9">
        <v>0.86679887271006784</v>
      </c>
      <c r="L6" s="9">
        <v>0.67523006042515565</v>
      </c>
      <c r="M6" s="9">
        <v>1.004664579577871</v>
      </c>
      <c r="N6" s="9">
        <v>1.2412479699734009</v>
      </c>
      <c r="O6" s="9">
        <v>0.88271527868638289</v>
      </c>
    </row>
    <row r="7" spans="1:15" x14ac:dyDescent="0.15">
      <c r="A7" s="1" t="s">
        <v>19</v>
      </c>
      <c r="B7" s="10">
        <v>1.3396068649314481</v>
      </c>
      <c r="C7" s="11">
        <v>0.79163905050003247</v>
      </c>
      <c r="D7" s="11">
        <v>1.096323585089894</v>
      </c>
      <c r="E7" s="11">
        <v>1.8033560336695631</v>
      </c>
      <c r="F7" s="11">
        <v>0.72303506897179048</v>
      </c>
      <c r="G7" s="11">
        <v>1.4759403531490529</v>
      </c>
      <c r="H7" s="11">
        <v>1.168037253810587</v>
      </c>
      <c r="I7" s="11">
        <v>1.4859251146170951</v>
      </c>
      <c r="J7" s="11">
        <v>1.3323140793826129</v>
      </c>
      <c r="K7" s="11">
        <v>1.4223388514230091</v>
      </c>
      <c r="L7" s="11">
        <v>0.90651378997828991</v>
      </c>
      <c r="M7" s="11">
        <v>1.773282277559534</v>
      </c>
      <c r="N7" s="11">
        <v>1.507252327918462</v>
      </c>
      <c r="O7" s="11">
        <v>0.98184622416754197</v>
      </c>
    </row>
    <row r="8" spans="1:15" x14ac:dyDescent="0.15">
      <c r="A8" s="1" t="s">
        <v>20</v>
      </c>
      <c r="B8" s="7">
        <v>1.9171425618952169</v>
      </c>
      <c r="C8">
        <v>1.205348541611861</v>
      </c>
      <c r="D8">
        <v>0.84102253472756194</v>
      </c>
      <c r="E8">
        <v>2.2768716528483219</v>
      </c>
      <c r="F8">
        <v>1.134993922523561</v>
      </c>
      <c r="G8">
        <v>0.58984772341405867</v>
      </c>
      <c r="H8">
        <v>0.99298779463201614</v>
      </c>
      <c r="I8">
        <v>1.4342222498942341</v>
      </c>
      <c r="J8">
        <v>1.053331745034243</v>
      </c>
      <c r="K8">
        <v>1.188610149592066</v>
      </c>
      <c r="L8">
        <v>0.78575717527578515</v>
      </c>
      <c r="M8">
        <v>1.0374240838475071</v>
      </c>
      <c r="N8">
        <v>0.87354393757562199</v>
      </c>
      <c r="O8">
        <v>1.4250123444043119</v>
      </c>
    </row>
    <row r="9" spans="1:15" x14ac:dyDescent="0.15">
      <c r="A9" s="1" t="s">
        <v>21</v>
      </c>
      <c r="B9" s="7">
        <v>0.99293238455066035</v>
      </c>
      <c r="C9">
        <v>1.235226275878988</v>
      </c>
      <c r="D9">
        <v>1.4988812283670581</v>
      </c>
      <c r="E9">
        <v>1.5321354778236711</v>
      </c>
      <c r="F9">
        <v>1.331366454504898</v>
      </c>
      <c r="G9">
        <v>1.1828041792884849</v>
      </c>
      <c r="H9">
        <v>1.2292403938565739</v>
      </c>
      <c r="I9">
        <v>1.8135782437311181</v>
      </c>
      <c r="J9">
        <v>0.58576702903594891</v>
      </c>
      <c r="K9">
        <v>1.641022625308969</v>
      </c>
      <c r="L9">
        <v>1.167006615019522</v>
      </c>
      <c r="M9">
        <v>1.1771201872104149</v>
      </c>
      <c r="N9">
        <v>0.89221452252017697</v>
      </c>
      <c r="O9">
        <v>1.1322810917164119</v>
      </c>
    </row>
    <row r="10" spans="1:15" x14ac:dyDescent="0.15">
      <c r="A10" s="1" t="s">
        <v>22</v>
      </c>
      <c r="B10" s="7">
        <v>1.2370420042935519</v>
      </c>
      <c r="C10">
        <v>1.3355874603553901</v>
      </c>
      <c r="D10">
        <v>0.82412728835029159</v>
      </c>
      <c r="E10">
        <v>1.442719073970463</v>
      </c>
      <c r="F10">
        <v>1.2421728333934781</v>
      </c>
      <c r="G10">
        <v>1.190646538103127</v>
      </c>
      <c r="H10">
        <v>1.4483295955277971</v>
      </c>
      <c r="I10">
        <v>1.1118916669039021</v>
      </c>
      <c r="J10">
        <v>1.1665997820615699</v>
      </c>
      <c r="K10">
        <v>0.76487754435030475</v>
      </c>
      <c r="L10">
        <v>1.0546269712372991</v>
      </c>
      <c r="M10">
        <v>1.200016711197061</v>
      </c>
      <c r="N10">
        <v>1.0023735055530101</v>
      </c>
      <c r="O10">
        <v>1.2681498097803481</v>
      </c>
    </row>
    <row r="11" spans="1:15" x14ac:dyDescent="0.15">
      <c r="A11" s="1" t="s">
        <v>23</v>
      </c>
      <c r="B11" s="7">
        <v>1.4234359729333259</v>
      </c>
      <c r="C11">
        <v>1.365155847882211</v>
      </c>
      <c r="D11">
        <v>0.62360181547727789</v>
      </c>
      <c r="E11">
        <v>1.5101561197623921</v>
      </c>
      <c r="F11">
        <v>1.0179586300180721</v>
      </c>
      <c r="G11">
        <v>1.514135579910306</v>
      </c>
      <c r="H11">
        <v>1.068462171249265</v>
      </c>
      <c r="I11">
        <v>1.680983474321013</v>
      </c>
      <c r="J11">
        <v>0.58395602252791412</v>
      </c>
      <c r="K11">
        <v>1.201862075900366</v>
      </c>
      <c r="L11">
        <v>1.0628082449242979</v>
      </c>
      <c r="M11">
        <v>1.2723963465559061</v>
      </c>
      <c r="N11">
        <v>1.169671135926581</v>
      </c>
      <c r="O11">
        <v>0.85310749630981542</v>
      </c>
    </row>
    <row r="12" spans="1:15" x14ac:dyDescent="0.15">
      <c r="A12" s="1" t="s">
        <v>24</v>
      </c>
      <c r="B12" s="7">
        <v>1.1089314184963159</v>
      </c>
      <c r="C12">
        <v>0.68630909128483752</v>
      </c>
      <c r="D12">
        <v>1.235532385561553</v>
      </c>
      <c r="E12">
        <v>1.114499443159364</v>
      </c>
      <c r="F12">
        <v>1.026984466491623</v>
      </c>
      <c r="G12">
        <v>1.45963437668273</v>
      </c>
      <c r="H12">
        <v>1.493423134732182</v>
      </c>
      <c r="I12">
        <v>1.255368906126717</v>
      </c>
      <c r="J12">
        <v>0.86187740482723141</v>
      </c>
      <c r="K12">
        <v>1.1645774192395559</v>
      </c>
      <c r="L12">
        <v>1.59876211999048</v>
      </c>
      <c r="M12">
        <v>1.080532860228004</v>
      </c>
      <c r="N12">
        <v>0.88989987024672768</v>
      </c>
      <c r="O12">
        <v>0.62027573417404347</v>
      </c>
    </row>
    <row r="13" spans="1:15" x14ac:dyDescent="0.15">
      <c r="A13" s="1" t="s">
        <v>25</v>
      </c>
      <c r="B13" s="7">
        <v>1.291541359131549</v>
      </c>
      <c r="C13">
        <v>0.91169908821281775</v>
      </c>
      <c r="D13">
        <v>1.5261480648274539</v>
      </c>
      <c r="E13">
        <v>1.4493920701791649</v>
      </c>
      <c r="F13">
        <v>0.56449888782966817</v>
      </c>
      <c r="G13">
        <v>1.391941135377879</v>
      </c>
      <c r="H13">
        <v>0.96239415842583309</v>
      </c>
      <c r="I13">
        <v>1.8224951165462639</v>
      </c>
      <c r="J13">
        <v>0.96261060586092917</v>
      </c>
      <c r="K13">
        <v>0.71577112605556537</v>
      </c>
      <c r="L13">
        <v>1.0970942679786071</v>
      </c>
      <c r="M13">
        <v>1.478458609569953</v>
      </c>
      <c r="N13">
        <v>1.004872412650536</v>
      </c>
      <c r="O13">
        <v>1.046668992686862</v>
      </c>
    </row>
    <row r="14" spans="1:15" x14ac:dyDescent="0.15">
      <c r="A14" s="1" t="s">
        <v>26</v>
      </c>
      <c r="B14" s="7">
        <v>1.089098601856815</v>
      </c>
      <c r="C14">
        <v>1.277279214048066</v>
      </c>
      <c r="D14">
        <v>0.9708217602574275</v>
      </c>
      <c r="E14">
        <v>1.5081093662994209</v>
      </c>
      <c r="F14">
        <v>0.68897683759115769</v>
      </c>
      <c r="G14">
        <v>1.394959983664215</v>
      </c>
      <c r="H14">
        <v>1.0860767243581551</v>
      </c>
      <c r="I14">
        <v>1.866480978308322</v>
      </c>
      <c r="J14">
        <v>0.95739671649308655</v>
      </c>
      <c r="K14">
        <v>1.221472867038472</v>
      </c>
      <c r="L14">
        <v>0.99578882179003292</v>
      </c>
      <c r="M14">
        <v>1.48127429412348</v>
      </c>
      <c r="N14">
        <v>0.79259194542335565</v>
      </c>
      <c r="O14">
        <v>0.56464536323932502</v>
      </c>
    </row>
    <row r="15" spans="1:15" x14ac:dyDescent="0.15">
      <c r="A15" s="1" t="s">
        <v>27</v>
      </c>
      <c r="B15" s="7">
        <v>0.98372651058179494</v>
      </c>
      <c r="C15">
        <v>1.019299236793229</v>
      </c>
      <c r="D15">
        <v>0.90986606682470161</v>
      </c>
      <c r="E15">
        <v>1.9335837435333341</v>
      </c>
      <c r="F15">
        <v>0.84390010720365727</v>
      </c>
      <c r="G15">
        <v>0.98574639477717818</v>
      </c>
      <c r="H15">
        <v>1.3981309524089161</v>
      </c>
      <c r="I15">
        <v>1.469806026150027</v>
      </c>
      <c r="J15">
        <v>1.532537361273421</v>
      </c>
      <c r="K15">
        <v>1.3636513598179769</v>
      </c>
      <c r="L15">
        <v>1.122800801378786</v>
      </c>
      <c r="M15">
        <v>1.0873446391867749</v>
      </c>
      <c r="N15">
        <v>0.90170806999882436</v>
      </c>
      <c r="O15">
        <v>0.88608984740847296</v>
      </c>
    </row>
    <row r="16" spans="1:15" ht="14.25" thickBot="1" x14ac:dyDescent="0.2">
      <c r="A16" s="1" t="s">
        <v>28</v>
      </c>
      <c r="B16" s="8">
        <v>1.273338643178485</v>
      </c>
      <c r="C16" s="9">
        <v>0.69722150502008418</v>
      </c>
      <c r="D16" s="9">
        <v>0.96860117614693375</v>
      </c>
      <c r="E16" s="9">
        <v>1.423320042287378</v>
      </c>
      <c r="F16" s="9">
        <v>1.0336192653745819</v>
      </c>
      <c r="G16" s="9">
        <v>1.0947727234954461</v>
      </c>
      <c r="H16" s="9">
        <v>1.3765434152787379</v>
      </c>
      <c r="I16" s="9">
        <v>1.338325557297865</v>
      </c>
      <c r="J16" s="9">
        <v>0.58639622700943494</v>
      </c>
      <c r="K16" s="9">
        <v>1.2428257575253261</v>
      </c>
      <c r="L16" s="9">
        <v>1.361063137162378</v>
      </c>
      <c r="M16" s="9">
        <v>1.269041800908145</v>
      </c>
      <c r="N16" s="9">
        <v>1.015021036940658</v>
      </c>
      <c r="O16" s="9">
        <v>0.85966429683351353</v>
      </c>
    </row>
    <row r="17" spans="1:28" x14ac:dyDescent="0.15">
      <c r="A17" s="1" t="s">
        <v>29</v>
      </c>
      <c r="B17" s="10">
        <v>2.9242385403549309</v>
      </c>
      <c r="C17" s="11">
        <v>3.0602687928713099E-2</v>
      </c>
      <c r="D17" s="11">
        <v>0.93670274010951449</v>
      </c>
      <c r="E17" s="11">
        <v>2.523482324345165</v>
      </c>
      <c r="F17" s="11">
        <v>0.15264932839526879</v>
      </c>
      <c r="G17" s="11">
        <v>1.148276280987359</v>
      </c>
      <c r="H17" s="11">
        <v>0.58066828893662514</v>
      </c>
      <c r="I17" s="11">
        <v>1.921306587229658</v>
      </c>
      <c r="J17" s="11">
        <v>0.71539125528065917</v>
      </c>
      <c r="K17" s="11">
        <v>0.33940366677229589</v>
      </c>
      <c r="L17" s="11">
        <v>1.2329717162703191</v>
      </c>
      <c r="M17" s="11">
        <v>0.78336829522237472</v>
      </c>
      <c r="N17" s="11">
        <v>1.0094413245598219</v>
      </c>
      <c r="O17" s="11">
        <v>3.1314919870044791</v>
      </c>
    </row>
    <row r="18" spans="1:28" x14ac:dyDescent="0.15">
      <c r="A18" s="1" t="s">
        <v>30</v>
      </c>
      <c r="B18" s="7">
        <v>1.787070271566144</v>
      </c>
      <c r="C18">
        <v>1.128077018694138</v>
      </c>
      <c r="D18">
        <v>1.025141272267907</v>
      </c>
      <c r="E18">
        <v>0.7840771602028469</v>
      </c>
      <c r="F18">
        <v>0.1292413707750181</v>
      </c>
      <c r="G18">
        <v>3.0482318951711411</v>
      </c>
      <c r="H18">
        <v>0.6658728861986255</v>
      </c>
      <c r="I18">
        <v>0.35999976570737119</v>
      </c>
      <c r="J18">
        <v>0.24054234906406069</v>
      </c>
      <c r="K18">
        <v>0.13290534237434881</v>
      </c>
      <c r="L18">
        <v>0.30877470433908472</v>
      </c>
      <c r="M18">
        <v>3.1069439159074128</v>
      </c>
      <c r="N18">
        <v>0.28605144171732111</v>
      </c>
      <c r="O18">
        <v>0.20769660715589541</v>
      </c>
      <c r="Q18" t="s">
        <v>48</v>
      </c>
      <c r="R18" t="s">
        <v>49</v>
      </c>
    </row>
    <row r="19" spans="1:28" x14ac:dyDescent="0.15">
      <c r="A19" s="1" t="s">
        <v>31</v>
      </c>
      <c r="B19" s="7">
        <v>1.306558890303388</v>
      </c>
      <c r="C19">
        <v>2.3251622810468629E-2</v>
      </c>
      <c r="D19">
        <v>0.49271871556254571</v>
      </c>
      <c r="E19">
        <v>1.5273454314033761</v>
      </c>
      <c r="F19">
        <v>1.9061554139701471</v>
      </c>
      <c r="G19">
        <v>1.1380883881056141</v>
      </c>
      <c r="H19">
        <v>2.0691095064332949</v>
      </c>
      <c r="I19">
        <v>1.414820708106862</v>
      </c>
      <c r="J19">
        <v>0.55478057036006356</v>
      </c>
      <c r="K19">
        <v>0.96493510367673885</v>
      </c>
      <c r="L19">
        <v>2.244909939882882</v>
      </c>
      <c r="M19">
        <v>1.173721630740846</v>
      </c>
      <c r="N19">
        <v>1.0307012769439969</v>
      </c>
      <c r="O19">
        <v>0.46364760900080271</v>
      </c>
      <c r="S19" t="s">
        <v>103</v>
      </c>
      <c r="T19" t="s">
        <v>51</v>
      </c>
      <c r="U19" t="s">
        <v>104</v>
      </c>
      <c r="V19" t="s">
        <v>53</v>
      </c>
    </row>
    <row r="20" spans="1:28" x14ac:dyDescent="0.15">
      <c r="A20" s="1" t="s">
        <v>32</v>
      </c>
      <c r="B20" s="7">
        <v>2.1026131741430478</v>
      </c>
      <c r="C20">
        <v>1.4581911966785821</v>
      </c>
      <c r="D20">
        <v>1.0087805809382571</v>
      </c>
      <c r="E20">
        <v>1.4836379934520849</v>
      </c>
      <c r="F20">
        <v>1.183989608241077</v>
      </c>
      <c r="G20">
        <v>0.77399245572122177</v>
      </c>
      <c r="H20">
        <v>1.161357263027196</v>
      </c>
      <c r="I20">
        <v>2.008413467349659</v>
      </c>
      <c r="J20">
        <v>3.0293759918778019E-2</v>
      </c>
      <c r="K20">
        <v>0.81233046742939385</v>
      </c>
      <c r="L20">
        <v>1.4765702750531799</v>
      </c>
      <c r="M20">
        <v>1.377439602635993</v>
      </c>
      <c r="N20">
        <v>0.69171868431466643</v>
      </c>
      <c r="O20">
        <v>1.271314703670579</v>
      </c>
      <c r="Q20" t="s">
        <v>54</v>
      </c>
      <c r="R20" t="s">
        <v>105</v>
      </c>
      <c r="X20" t="s">
        <v>60</v>
      </c>
    </row>
    <row r="21" spans="1:28" ht="14.25" thickBot="1" x14ac:dyDescent="0.2">
      <c r="A21" s="1" t="s">
        <v>33</v>
      </c>
      <c r="B21" s="8">
        <v>1.3958243770568499</v>
      </c>
      <c r="C21" s="9">
        <v>1.147605612141759</v>
      </c>
      <c r="D21" s="9">
        <v>0.78325056119343106</v>
      </c>
      <c r="E21" s="9">
        <v>1.1780066815547361</v>
      </c>
      <c r="F21" s="9">
        <v>1.4077512707964011</v>
      </c>
      <c r="G21" s="9">
        <v>1.452368681063245</v>
      </c>
      <c r="H21" s="9">
        <v>0.83748054790598203</v>
      </c>
      <c r="I21" s="9">
        <v>1.2537256797572021</v>
      </c>
      <c r="J21" s="9">
        <v>0.89747517040016866</v>
      </c>
      <c r="K21" s="9">
        <v>1.306263032783846</v>
      </c>
      <c r="L21" s="9">
        <v>1.401905085546149</v>
      </c>
      <c r="M21" s="9">
        <v>1.304623675557905</v>
      </c>
      <c r="N21" s="9">
        <v>2.5132828100941409</v>
      </c>
      <c r="O21" s="9">
        <v>1.249922438157381</v>
      </c>
      <c r="Q21" t="s">
        <v>55</v>
      </c>
      <c r="R21" t="s">
        <v>106</v>
      </c>
      <c r="S21" s="13">
        <f>AVERAGE(D6)</f>
        <v>1.049536588060674</v>
      </c>
      <c r="T21" s="13">
        <f>AVERAGE(B7:B10,D7,B13,E9,E13,K8,K9,K16,M7)</f>
        <v>1.3918214264900877</v>
      </c>
      <c r="V21" s="13">
        <f>AVERAGE(B7,K7)</f>
        <v>1.3809728581772287</v>
      </c>
      <c r="X21" t="s">
        <v>61</v>
      </c>
      <c r="Y21" s="13">
        <f>_xlfn.STDEV.P($D$6)</f>
        <v>0</v>
      </c>
      <c r="Z21" s="13">
        <f>_xlfn.STDEV.P($B$7:$B$10,$D$7,$B$13,$E$9,$E$13,$K$8,$K$9,$K$16,$M$7)</f>
        <v>0.2666526176624972</v>
      </c>
      <c r="AB21" s="13">
        <f>_xlfn.STDEV.P($B$7,$K$7)</f>
        <v>4.1365993245780497E-2</v>
      </c>
    </row>
    <row r="22" spans="1:28" x14ac:dyDescent="0.15">
      <c r="A22" s="1" t="s">
        <v>34</v>
      </c>
      <c r="B22">
        <v>1.2541312073687201</v>
      </c>
      <c r="C22">
        <v>1.868959198329138</v>
      </c>
      <c r="D22">
        <v>1.1085733300020411</v>
      </c>
      <c r="E22">
        <v>1.225240746213184</v>
      </c>
      <c r="F22">
        <v>0.55830011003722346</v>
      </c>
      <c r="G22">
        <v>1.046719007194493</v>
      </c>
      <c r="H22">
        <v>1.749243066771081</v>
      </c>
      <c r="I22">
        <v>2.0436497372271241</v>
      </c>
      <c r="J22">
        <v>0.27920096565605101</v>
      </c>
      <c r="K22">
        <v>1.3834642905524639</v>
      </c>
      <c r="L22">
        <v>1.113251522952774</v>
      </c>
      <c r="M22">
        <v>1.489942467354316</v>
      </c>
      <c r="N22">
        <v>1.5641754035142501</v>
      </c>
      <c r="O22">
        <v>2.677945044588987</v>
      </c>
      <c r="Q22" t="s">
        <v>56</v>
      </c>
      <c r="R22" t="s">
        <v>107</v>
      </c>
      <c r="S22" s="13">
        <f>AVERAGE(B4:B6,D4:D5,I6)</f>
        <v>0.97259803043120918</v>
      </c>
      <c r="T22" s="13">
        <f>AVERAGE(B11:B12,B15:B16,D9,D11,D13,D15,E8,E10:E11,E14:E15,F8:F10,F16,H7:H11,H13,H15:H16,K7,K10:K15,L16,M8,M10,M12,M14:M16,)</f>
        <v>1.2194224164641296</v>
      </c>
      <c r="U22" s="13">
        <f>AVERAGE(B3,D3)</f>
        <v>1.1618590544909875</v>
      </c>
      <c r="V22" s="13">
        <f>AVERAGE(B8:B9,B15:B16,E7:F9,F11,E13,E15:F16,H7,H9:H10,H14:H15,K8:K16,L15:L16,M13:M16,M7,M11,)</f>
        <v>1.2654056492405064</v>
      </c>
      <c r="X22" t="s">
        <v>62</v>
      </c>
      <c r="Y22" s="13">
        <f>_xlfn.STDEV.P($B$4:$B$6,$D$4:$D$5,$I$6)</f>
        <v>0.18461802008612918</v>
      </c>
      <c r="Z22" s="13">
        <f>_xlfn.STDEV.P($B$11:$B$12,$B$15:$B$16,$D$9,$D$11,$D$13,$D$15,$E$8,$E$10:$E$11,$E$14:$E$15,$F$8:$F$10,$F$16,$H$7:$H$11,$H$13,$H$15:$H$16,$K$7,$K$10:$K$15,$L$16,$M$8,$M$10,$M$12,$M$14:$M$16,)</f>
        <v>0.35572887794840941</v>
      </c>
      <c r="AA22" s="13">
        <f>_xlfn.STDEV.P($B$3,$D$3)</f>
        <v>0.18238933868251231</v>
      </c>
      <c r="AB22" s="13">
        <f>_xlfn.STDEV.P($B$8:$B$9,$B$15:$B$16,$E$7:$F$9,$F$11,$E$13,$E$15:$F$16,$H$7,$H$9:$H$10,$H$14:$H$15,$K$8:$K$16,$L$15:$L$16,$M$13:$M$16,$M$7,$M$11,)</f>
        <v>0.389206016827918</v>
      </c>
    </row>
    <row r="23" spans="1:28" x14ac:dyDescent="0.15">
      <c r="A23" s="1" t="s">
        <v>35</v>
      </c>
      <c r="B23">
        <v>0.15119801210543141</v>
      </c>
      <c r="C23">
        <v>0.53202391232986157</v>
      </c>
      <c r="D23">
        <v>1.405647649380267</v>
      </c>
      <c r="E23">
        <v>1.5285122845810211</v>
      </c>
      <c r="F23">
        <v>1.026622935622644</v>
      </c>
      <c r="G23">
        <v>1.1571813862403979</v>
      </c>
      <c r="H23">
        <v>1.495694672889696</v>
      </c>
      <c r="I23">
        <v>1.510502915945845</v>
      </c>
      <c r="J23">
        <v>1.3363405451368111</v>
      </c>
      <c r="K23">
        <v>1.6698751159784799</v>
      </c>
      <c r="L23">
        <v>1.1195550291334599</v>
      </c>
      <c r="M23">
        <v>1.591862309610087</v>
      </c>
      <c r="N23">
        <v>2.504372902556165</v>
      </c>
      <c r="O23">
        <v>2.168698626625662</v>
      </c>
      <c r="Q23" t="s">
        <v>57</v>
      </c>
      <c r="R23" t="s">
        <v>108</v>
      </c>
      <c r="S23" s="13">
        <f>AVERAGE(B2:B3,D3,C5:C6,E6,I4:I5,K5:K6,L6)</f>
        <v>1.0049795813600078</v>
      </c>
      <c r="T23" s="13">
        <f>AVERAGE(C7:C16,B14,D8,D10,D12,D14,D16,E16,E12,E7,F7,F11:F15,G15,H12,H14,I7:I16,L9,L11:L15,M9,M11,M13,N7:N13,O7:O16,N15:N16)</f>
        <v>1.1268387302718741</v>
      </c>
      <c r="U23" s="13">
        <f>AVERAGE(B4:B6,C5,D6,F4,F6,I3:I6,K5:K6,M5,N6,)</f>
        <v>0.90395284369255657</v>
      </c>
      <c r="V23" s="13">
        <f>AVERAGE(B10:B14,C7:C16,D12,D15,E10:E12,E14,F10,F12:F14,G15,H8,H11:H13,H16,I7:I16,J8,L13:L14,M8:M10,N10,N12,N14,O7:O16,)</f>
        <v>1.130497490019283</v>
      </c>
      <c r="X23" t="s">
        <v>63</v>
      </c>
      <c r="Y23" s="13">
        <f>_xlfn.STDEV.P($B$2:$B$3,$D$3,$C$5:$C$6,$E$6,$I$4:$I$5,$K$5:$K$6,$L$6)</f>
        <v>0.36906329157791934</v>
      </c>
      <c r="Z23" s="13">
        <f>_xlfn.STDEV.P($C$7:$C$16,$B$14,$D$8,$D$10,$D$12,$D$14,$D$16,$E$16,$E$12,$E$7,$F$7,$F$11:$F$15,$G$15,$H$12,$H$14,$I$7:$I$16,$L$9,$L$11:$L$15,$M$9,$M$11,$M$13,$N$7:$N$13,$O$7:$O$16,$N$15:$N$16)</f>
        <v>0.30981642975946599</v>
      </c>
      <c r="AA23" s="13">
        <f>_xlfn.STDEV.P($B$4:$B$6,$C$5,$D$6,$F$4,$F$6,$I$3:$I$6,$K$5:$K$6,$M$5,$N$6)</f>
        <v>0.3555225714027605</v>
      </c>
      <c r="AB23" s="13">
        <f>_xlfn.STDEV.P($B$10:$B$14,$C$7:$C$16,$D$12,$D$15,$E$10:$E$12,$E$14,$F$10,$F$12:$F$14,$G$15,$H$8,$H$11:$H$13,$H$16,$I$7:$I$16,$J$8,$L$13:$L$14,$M$8:$M$10,$N$10,$N$12,$N$14,$O$7:$O$16,)</f>
        <v>0.3310009480053735</v>
      </c>
    </row>
    <row r="24" spans="1:28" x14ac:dyDescent="0.15">
      <c r="A24" s="1" t="s">
        <v>36</v>
      </c>
      <c r="B24">
        <v>1.757068349195561</v>
      </c>
      <c r="C24">
        <v>1.222647714517193</v>
      </c>
      <c r="D24">
        <v>1.4175010408865261</v>
      </c>
      <c r="E24">
        <v>1.5617598341709</v>
      </c>
      <c r="F24">
        <v>1.686615473244347</v>
      </c>
      <c r="G24">
        <v>0.88685637028870345</v>
      </c>
      <c r="H24">
        <v>1.312324407444122</v>
      </c>
      <c r="I24">
        <v>2.061789023375757</v>
      </c>
      <c r="J24">
        <v>2.58299333824624</v>
      </c>
      <c r="K24">
        <v>1.4976180516765281</v>
      </c>
      <c r="L24">
        <v>2.244244050398609</v>
      </c>
      <c r="M24">
        <v>1.842175459630651</v>
      </c>
      <c r="N24">
        <v>3.2508868282021937E-2</v>
      </c>
      <c r="O24">
        <v>1.471651625350693</v>
      </c>
      <c r="Q24" t="s">
        <v>58</v>
      </c>
      <c r="R24" t="s">
        <v>109</v>
      </c>
      <c r="S24" s="13">
        <f>AVERAGE(C2:C4,D2,E2:E5,F2:F6,G2:G6,H2:H6,I2:I3,J2:J6,K2:K4,L2:L5,M2:M6,N2:N6,O2:O6)</f>
        <v>0.96711430920399699</v>
      </c>
      <c r="T24" s="13">
        <f>AVERAGE(G7:G14,J7:J16,L7:L8,L10,N14,)</f>
        <v>1.0157472489135204</v>
      </c>
      <c r="U24" s="13">
        <f>AVERAGE(B2:O2,C3:C4,C6,D4,E3:E6,D5,F3,F5,G3:H6,J3:J6,K3:K4,L3:L6,M3:O4,N5:O5,O6,M6,)</f>
        <v>0.95264593770653672</v>
      </c>
      <c r="V24" s="13">
        <f>AVERAGE(D7:D11,D13:D14,D16,G7:G14,G16,J7,J9:J16,L7:L12,M12,N7:N9,N11,N13,N15:N16,)</f>
        <v>1.0544867437801435</v>
      </c>
      <c r="X24" t="s">
        <v>64</v>
      </c>
      <c r="Y24" s="13">
        <f>_xlfn.STDEV.P($C$2:$C$4,$D$2,$E$2:$E$5,$F$2:$F$6,$G$2:$G$6,$H$2:$H$6,$I$2:$I$3,$J$2:$J$6,$K$2:$K$4,$L$2:$L$5,$M$2:$M$6,$N$2:$N$6,$O$2:$O$6)</f>
        <v>0.42040221988023585</v>
      </c>
      <c r="Z24" s="13">
        <f>_xlfn.STDEV.P($G$7:$G$14,$J$7:$J$16,$L$7:$L$8,$L$10,$N$14,)</f>
        <v>0.37920542410795793</v>
      </c>
      <c r="AA24" s="13">
        <f>_xlfn.STDEV.P($B$2:$O$2,$C$3:$C$4,$C$6,$D$4,$E$3:$E$6,$D$5,$F$3,$F$5,$G$3:$H$6,$J$3:$J$6,$K$3:$K$4,$L$3:$L$6,$M$3:$O$4,$N$5:$O$5,$O$6,$M$6,)</f>
        <v>0.42603823871455881</v>
      </c>
      <c r="AB24" s="13">
        <f>_xlfn.STDEV.P($D$7:$D$11,$D$13:$D$14,$D$16,$G$7:$G$14,$G$16,$J$7,$J$9:$J$16,$L$7:$L$12,$M$12,$N$7:$N$9,$N$11,$N$13,$N$15:$N$16,)</f>
        <v>0.33530430635180114</v>
      </c>
    </row>
    <row r="25" spans="1:28" x14ac:dyDescent="0.15">
      <c r="A25" s="1" t="s">
        <v>37</v>
      </c>
      <c r="B25">
        <v>0.98787457377800558</v>
      </c>
      <c r="C25">
        <v>1.796051075447004</v>
      </c>
      <c r="D25">
        <v>1.1057724826769639</v>
      </c>
      <c r="E25">
        <v>1.881199156520704</v>
      </c>
      <c r="F25">
        <v>2.0778830271287112</v>
      </c>
      <c r="G25">
        <v>0.86840220188479267</v>
      </c>
      <c r="H25">
        <v>1.199951106974765</v>
      </c>
      <c r="I25">
        <v>1.766246174439591</v>
      </c>
      <c r="J25">
        <v>0.64491971524206104</v>
      </c>
      <c r="K25">
        <v>2.8347461445985451</v>
      </c>
      <c r="L25">
        <v>0.1860670577599963</v>
      </c>
      <c r="M25">
        <v>1.5946264315066361</v>
      </c>
      <c r="N25">
        <v>1.657777216974162</v>
      </c>
      <c r="O25">
        <v>1.5919739850082779</v>
      </c>
      <c r="U25" s="12"/>
    </row>
    <row r="26" spans="1:28" x14ac:dyDescent="0.15">
      <c r="A26" s="1" t="s">
        <v>38</v>
      </c>
      <c r="B26">
        <v>2.078108673938269</v>
      </c>
      <c r="C26">
        <v>0.85830152072990651</v>
      </c>
      <c r="D26">
        <v>0.86833539353669131</v>
      </c>
      <c r="E26">
        <v>1.85515324385444</v>
      </c>
      <c r="F26">
        <v>1.464945288032933</v>
      </c>
      <c r="G26">
        <v>1.631487343512525</v>
      </c>
      <c r="H26">
        <v>1.7417298538583259</v>
      </c>
      <c r="I26">
        <v>1.5446519875874589</v>
      </c>
      <c r="J26">
        <v>0.16514867741462469</v>
      </c>
      <c r="K26">
        <v>2.2721021016683629</v>
      </c>
      <c r="L26">
        <v>1.905367725015122</v>
      </c>
      <c r="M26">
        <v>1.476505914926511</v>
      </c>
      <c r="N26">
        <v>1.4871342635934901</v>
      </c>
      <c r="O26">
        <v>0.41942866460515349</v>
      </c>
    </row>
    <row r="27" spans="1:28" x14ac:dyDescent="0.15">
      <c r="A27" s="1" t="s">
        <v>39</v>
      </c>
      <c r="B27">
        <v>1.2556713037473981</v>
      </c>
      <c r="C27">
        <v>1.598755922964332</v>
      </c>
      <c r="D27">
        <v>1.214539581844946</v>
      </c>
      <c r="E27">
        <v>2.366609650210457</v>
      </c>
      <c r="F27">
        <v>1.2592072653234401</v>
      </c>
      <c r="G27">
        <v>2.1180778298482368</v>
      </c>
      <c r="H27">
        <v>1.4782450003848211</v>
      </c>
      <c r="I27">
        <v>1.167336897343531</v>
      </c>
      <c r="J27">
        <v>2.6774346293325109</v>
      </c>
      <c r="K27">
        <v>1.159672043687993</v>
      </c>
      <c r="L27">
        <v>1.854177036543414</v>
      </c>
      <c r="M27">
        <v>1.573150037238533</v>
      </c>
      <c r="N27">
        <v>0.4180489217578392</v>
      </c>
      <c r="O27">
        <v>2.436686019749863</v>
      </c>
    </row>
    <row r="28" spans="1:28" x14ac:dyDescent="0.15">
      <c r="A28" s="1" t="s">
        <v>40</v>
      </c>
      <c r="B28">
        <v>1.6045928674474581</v>
      </c>
      <c r="C28">
        <v>1.523978220992799</v>
      </c>
      <c r="D28">
        <v>0.91546552494654476</v>
      </c>
      <c r="E28">
        <v>1.7370222783438509</v>
      </c>
      <c r="F28">
        <v>1.523486410951802</v>
      </c>
      <c r="G28">
        <v>1.297773574116881</v>
      </c>
      <c r="H28">
        <v>1.380829220858155</v>
      </c>
      <c r="I28">
        <v>1.3364042807743519</v>
      </c>
      <c r="J28">
        <v>1.4910976994110501</v>
      </c>
      <c r="K28">
        <v>1.728544387679642</v>
      </c>
      <c r="L28">
        <v>1.8924195165654449</v>
      </c>
      <c r="M28">
        <v>1.2490274669697721</v>
      </c>
      <c r="N28">
        <v>1.939998592116756</v>
      </c>
      <c r="O28">
        <v>1.494011239496299</v>
      </c>
      <c r="R28" t="s">
        <v>59</v>
      </c>
    </row>
    <row r="29" spans="1:28" x14ac:dyDescent="0.15">
      <c r="A29" s="1" t="s">
        <v>41</v>
      </c>
      <c r="B29">
        <v>1.0894301900482251</v>
      </c>
      <c r="C29">
        <v>1.2265945032956329</v>
      </c>
      <c r="D29">
        <v>1.3631465543293599</v>
      </c>
      <c r="E29">
        <v>1.2331812885460249</v>
      </c>
      <c r="F29">
        <v>1.2625311771176899</v>
      </c>
      <c r="G29">
        <v>1.4328753304122199</v>
      </c>
      <c r="H29">
        <v>1.3635022503151211</v>
      </c>
      <c r="I29">
        <v>1.40413356498296</v>
      </c>
      <c r="J29">
        <v>1.727829429909765</v>
      </c>
      <c r="K29">
        <v>1.201828723245185</v>
      </c>
      <c r="L29">
        <v>1.401051418580054</v>
      </c>
      <c r="M29">
        <v>1.7429121262666869</v>
      </c>
      <c r="N29">
        <v>1.459051074398513</v>
      </c>
      <c r="O29">
        <v>0.92246441026952575</v>
      </c>
      <c r="S29" t="s">
        <v>103</v>
      </c>
      <c r="T29" t="s">
        <v>51</v>
      </c>
      <c r="U29" t="s">
        <v>52</v>
      </c>
      <c r="V29" t="s">
        <v>53</v>
      </c>
    </row>
    <row r="30" spans="1:28" x14ac:dyDescent="0.15">
      <c r="A30" s="1" t="s">
        <v>42</v>
      </c>
      <c r="B30">
        <v>1.504058443750798</v>
      </c>
      <c r="C30">
        <v>1.2418223729536311</v>
      </c>
      <c r="D30">
        <v>1.622732029076885</v>
      </c>
      <c r="E30">
        <v>1.2093154751360109</v>
      </c>
      <c r="F30">
        <v>1.1821136013095801</v>
      </c>
      <c r="G30">
        <v>1.433086415475203</v>
      </c>
      <c r="H30">
        <v>1.194402427195254</v>
      </c>
      <c r="I30">
        <v>1.4707857034604701</v>
      </c>
      <c r="J30">
        <v>2.5369940634963171</v>
      </c>
      <c r="K30">
        <v>1.4142860289060819</v>
      </c>
      <c r="L30">
        <v>1.5770233974191139</v>
      </c>
      <c r="M30">
        <v>1.6334648055433301</v>
      </c>
      <c r="N30">
        <v>1.58475816489947</v>
      </c>
      <c r="O30">
        <v>1.595145925023786</v>
      </c>
      <c r="Q30" t="s">
        <v>54</v>
      </c>
      <c r="R30" t="s">
        <v>105</v>
      </c>
      <c r="T30" s="13">
        <f>AVERAGE(B30:B31,I30,K31,M22:M23,)</f>
        <v>1.275585002232815</v>
      </c>
      <c r="U30" s="13">
        <f>AVERAGE(I21)</f>
        <v>1.2537256797572021</v>
      </c>
      <c r="V30" s="13">
        <f>AVERAGE(B30,K30,)</f>
        <v>0.97278149088562671</v>
      </c>
      <c r="X30" t="s">
        <v>60</v>
      </c>
      <c r="Z30" s="13">
        <f>_xlfn.STDEV.P($B$30:$B$31,$I$30,$K$31,$M$22:$M$23,)</f>
        <v>0.52511804476559432</v>
      </c>
      <c r="AA30" s="13">
        <f>_xlfn.STDEV.P($I$21)</f>
        <v>0</v>
      </c>
      <c r="AB30" s="13">
        <f>_xlfn.STDEV.P($B$30,$K$30,)</f>
        <v>0.68883604405015941</v>
      </c>
    </row>
    <row r="31" spans="1:28" x14ac:dyDescent="0.15">
      <c r="A31" s="1" t="s">
        <v>43</v>
      </c>
      <c r="B31">
        <v>1.348951683418028</v>
      </c>
      <c r="C31">
        <v>1.2671566078404151</v>
      </c>
      <c r="D31">
        <v>1.733833006532425</v>
      </c>
      <c r="E31">
        <v>1.680120298331762</v>
      </c>
      <c r="F31">
        <v>1.6214180371910969</v>
      </c>
      <c r="G31">
        <v>1.371135481632358</v>
      </c>
      <c r="H31">
        <v>1.415931828322639</v>
      </c>
      <c r="I31">
        <v>1.383761678309692</v>
      </c>
      <c r="J31">
        <v>1.82995532776808</v>
      </c>
      <c r="K31">
        <v>1.523494408036006</v>
      </c>
      <c r="L31">
        <v>1.9700905849479591</v>
      </c>
      <c r="M31">
        <v>1.5280648181413079</v>
      </c>
      <c r="N31">
        <v>1.644926556182094</v>
      </c>
      <c r="O31">
        <v>1.525584054295021</v>
      </c>
      <c r="Q31" t="s">
        <v>55</v>
      </c>
      <c r="R31" t="s">
        <v>106</v>
      </c>
      <c r="S31" s="13">
        <f>AVERAGE(B17,B21,D21)</f>
        <v>1.7011044928684038</v>
      </c>
      <c r="T31" s="13">
        <f>AVERAGE(B26,B28:B29,D22:D24,D26,D28,C30:D31,E31,I26,I28,I31,K30,M30:M31,M24,O31,M25,M28,M26:M27,)</f>
        <v>1.3898085364904036</v>
      </c>
      <c r="U31" s="13">
        <f>AVERAGE(B20,D21:E21,K21,)</f>
        <v>1.0740266899350122</v>
      </c>
      <c r="V31" s="13">
        <f>AVERAGE(B28,B31,C30:E30,C31,H31:I31,I30,K29,K31,M24:M27,N30:O30,)</f>
        <v>1.3864852950262225</v>
      </c>
      <c r="X31" t="s">
        <v>61</v>
      </c>
      <c r="Y31" s="13">
        <f>_xlfn.STDEV.P($B$17,$B$21,$D$21)</f>
        <v>0.9003163679362749</v>
      </c>
      <c r="Z31" s="13">
        <f>_xlfn.STDEV.P($B$26,$B$28:$B$29,$D$22:$D$24,$D$26,$D$28,$C$30:$D$31,$E$31,$I$26,$I$28,$I$31,$K$30,$M$30:$M$31,$M$24,$O$31,$M$25,$M$28,$M$26:$M$27,)</f>
        <v>0.38453167240367631</v>
      </c>
      <c r="AA31" s="13">
        <f>_xlfn.STDEV.P($B$20,$D$21:$E$21,$K$21,)</f>
        <v>0.68714187775614222</v>
      </c>
      <c r="AB31" s="13">
        <f>_xlfn.STDEV.P($B$28,$B$31,$C$30:$E$30,$C$31,$H$31:$I$31,$I$30,$K$29,$K$31,$M$24:$M$27,$N$30:$O$30,)</f>
        <v>0.37500483164118303</v>
      </c>
    </row>
    <row r="32" spans="1:28" x14ac:dyDescent="0.15">
      <c r="Q32" t="s">
        <v>56</v>
      </c>
      <c r="R32" t="s">
        <v>107</v>
      </c>
      <c r="S32" s="13">
        <f>AVERAGE(B19:B20,D20,D18,E21,I21,K21,)</f>
        <v>1.147636163968548</v>
      </c>
      <c r="T32" s="13">
        <f>AVERAGE(B22:B25,C22,C28:C29,D25,D27,D29,H22:I22,I24,I27,N28,K28:L28,K29,M29,,H28,I29,H30:H31,K22:K23,L30:L31,N30:N31,O30,)</f>
        <v>1.4000489322146918</v>
      </c>
      <c r="U32" s="13">
        <f>AVERAGE(B18:B19,B21,D17,E20,F21,I19:I20,K19:K20,)</f>
        <v>1.2289132081679124</v>
      </c>
      <c r="V32" s="13">
        <f>AVERAGE(B24:B25,B27,B29,C28:C29,D24:D26,D31:F31,F30,F26,H27,H29:H30,I25:I29,K22:K23,K27:K28,L24,L26:L28,L30:L31,M28:M31,N22,N25:N26,N28,N31:O31,)</f>
        <v>1.4773842401154373</v>
      </c>
      <c r="X32" t="s">
        <v>62</v>
      </c>
      <c r="Y32" s="13">
        <f>_xlfn.STDEV.P($B$19:$B$20,$D$20,$D$18,$E$21,$I$21,$K$21,)</f>
        <v>0.53920450624001126</v>
      </c>
      <c r="Z32" s="13">
        <f>_xlfn.STDEV.P($B$22:$B$25,$C$22,$C$28:$C$29,$D$25,$D$27,$D$29,$H$22:$I$22,$I$24,$I$27,$N$28,$K$28:$L$28,$K$29,$M$29,$H$28,$I$29,$H$30:$H$31,$K$22:$K$23,$L$30:$L$31,$N$30:$N$31,$O$30,)</f>
        <v>0.4612129944543284</v>
      </c>
      <c r="AA32" s="13">
        <f>_xlfn.STDEV.P($B$18:$B$19,$B$21,$D$17,$E$20,$F$21,$I$19:$I$20,$K$19:$K$20,)</f>
        <v>0.5155154322300477</v>
      </c>
      <c r="AB32" s="13">
        <f>_xlfn.STDEV.P($B$24:$B$25,$B$27,$B$29,$C$28:$C$29,$D$24:$D$26,$D$31:$F$31,$F$30,$F$26,$H$27,$H$29:$H$30,$I$25:$I$29,$K$22:$K$23,$K$27:$K$28,$L$24,$L$26:$L$28,$L$30:$L$31,$M$28:$M$31,$N$22,$N$25:$N$26,$N$28,$N$31:$O$31,)</f>
        <v>0.36654926838623003</v>
      </c>
    </row>
    <row r="33" spans="1:28" x14ac:dyDescent="0.15">
      <c r="A33" s="2" t="s">
        <v>44</v>
      </c>
      <c r="Q33" t="s">
        <v>57</v>
      </c>
      <c r="R33" t="s">
        <v>108</v>
      </c>
      <c r="S33" s="13">
        <f>AVERAGE(D17,B18,C21,D19,E19:E20,F20:F21,I20,N17:N21,L20:M21,O21,)</f>
        <v>1.2158445862601559</v>
      </c>
      <c r="T33" s="13">
        <f>AVERAGE(B27,C23:C27,E22,E26,E28,E30,F22:F30,G22:G24,F31,G26,G28,G30:G31,H23:H24,H27,H29,I23,I25,K24:K27,L22:L27,L29,N22:N27,O22:O29,N29)</f>
        <v>1.43386172826963</v>
      </c>
      <c r="U33" s="13">
        <f>AVERAGE(C21,D19:D20,F19:F20,G21:H21,I17:J17,N17,L19:N21,O20:O21,)</f>
        <v>1.2459703840677667</v>
      </c>
      <c r="V33" s="13">
        <f>AVERAGE(B22:B23,B26,C22:C27,D22,D27,D29,F22:F25,F27:F29,G22,G26:H26,G28:G31,H28,H22:H23,I22:I24,J31,K24:K26,L25,L29,L22:M23,N23:N24,O22:O25,N27:O27,O28:O29,N29,)</f>
        <v>1.4287252388108849</v>
      </c>
      <c r="X33" t="s">
        <v>63</v>
      </c>
      <c r="Y33" s="13">
        <f>_xlfn.STDEV.P($D$17,$B$18,$C$21,$D$19,$E$19:$E$20,$F$20:$F$21,$I$20,$N$17:$N$21,$L$20:$M$21,$O$21,)</f>
        <v>0.56044718507481106</v>
      </c>
      <c r="Z33" s="13">
        <f>_xlfn.STDEV.P($B$27,$C$23:$C$27,$E$22,$E$26,$E$28,$E$30,$F$22:$F$30,$G$22:$G$24,$F$31,$G$26,$G$28,$G$30:$G$31,$H$23:$H$24,$H$27,$H$29,$I$23,$I$25,$K$24:$K$27,$L$22:$L$27,$L$29,$N$22:$N$27,$O$22:$O$29,$N$29)</f>
        <v>0.55595683189725265</v>
      </c>
      <c r="AA33" s="13">
        <f>_xlfn.STDEV.P($C$21,$D$19:$D$20,$F$19:$F$20,$G$21:$H$21,$I$17:$J$17,$N$17,$L$19:$N$21,$O$20:$O$21,)</f>
        <v>0.55144624277981547</v>
      </c>
      <c r="AB33" s="13">
        <f>_xlfn.STDEV.P($B$22:$B$23,$B$26,$C$22:$C$27,$D$22,$D$27,$D$29,$F$22:$F$25,$F$27:$F$29,$G$22,$G$26:$H$26,$G$28:$G$31,$H$28,$H$22:$H$23,$I$22:$I$24,$J$31,$K$24:$K$26,$L$25,$L$29,$L$22:$M$23,$N$23:$N$24,$O$22:$O$25,$N$27:$O$27,$O$28:$O$29,$N$29,)</f>
        <v>0.61835008566285565</v>
      </c>
    </row>
    <row r="34" spans="1:28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109</v>
      </c>
      <c r="S34" s="13">
        <f>AVERAGE(C17:C20,E17:E18,F17:F19,G17:H21,I17:I19,J17:J21,K17:K20,L17:M19,O17:O20,)</f>
        <v>1.031433337449184</v>
      </c>
      <c r="T34" s="13">
        <f>AVERAGE(E23:E25,E27,E29,G25,G27,G29,H25:H26,J22:J31)</f>
        <v>1.5602106464310475</v>
      </c>
      <c r="U34" s="13">
        <f>AVERAGE(B17:C17,C18:C20,D18:H18,E17:H17,E19,G19:H20,I18,J18:J21,K17:M18,N18,O17:O19,)</f>
        <v>0.98194976627577912</v>
      </c>
      <c r="V34" s="13">
        <f>AVERAGE(D23,D28,E22:E29,G23:G25,G27,H24:H25,J22:J30,O26,)</f>
        <v>1.3745915810332963</v>
      </c>
      <c r="X34" t="s">
        <v>64</v>
      </c>
      <c r="Y34" s="13">
        <f>_xlfn.STDEV.P($C$17:$C$20,$E$17:$E$18,$F$17:$F$19,$G$17:$H$21,$I$17:$I$19,$J$17:$J$21,$K$17:$K$20,$L$17:$M$19,$O$17:$O$20,)</f>
        <v>0.84952389011641416</v>
      </c>
      <c r="Z34" s="13">
        <f>_xlfn.STDEV.P($E$23:$E$25,$E$27,$E$29,$G$25,$G$27,$G$29,$H$25:$H$26,$J$22:$J$31)</f>
        <v>0.69494989350337433</v>
      </c>
      <c r="AA34" s="13">
        <f>_xlfn.STDEV.P($B$17:$C$17,$C$18:$C$20,$D$18:$H$18,$E$17:$H$17,$E$19,$G$19:$H$20,$I$18,$J$18:$J$21,$K$17:$M$18,$N$18,$O$17:$O$19,)</f>
        <v>0.94094419348302094</v>
      </c>
      <c r="AB34" s="13">
        <f>_xlfn.STDEV.P($D$23,$D$28,$E$22:$E$29,$G$23:$G$25,$G$27,$H$24:$H$25,$J$22:$J$30,$O$26,)</f>
        <v>0.71206228502941638</v>
      </c>
    </row>
    <row r="35" spans="1:28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8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8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8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8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8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8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8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8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8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8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8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8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8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46</v>
      </c>
      <c r="B65">
        <f t="shared" ref="B65:O65" si="0">CORREL(B2:B16,B35:B49)</f>
        <v>-0.36569939239725402</v>
      </c>
      <c r="C65">
        <f t="shared" si="0"/>
        <v>-0.36369985077551548</v>
      </c>
      <c r="D65">
        <f t="shared" si="0"/>
        <v>-0.37312382986820158</v>
      </c>
      <c r="E65">
        <f t="shared" si="0"/>
        <v>0.15550374394828548</v>
      </c>
      <c r="F65">
        <f t="shared" si="0"/>
        <v>-0.75396792282052438</v>
      </c>
      <c r="G65">
        <f t="shared" si="0"/>
        <v>0.39313072141734834</v>
      </c>
      <c r="H65">
        <f t="shared" si="0"/>
        <v>-0.74619475490476772</v>
      </c>
      <c r="I65">
        <f t="shared" si="0"/>
        <v>0.12542293836655538</v>
      </c>
      <c r="J65">
        <f t="shared" si="0"/>
        <v>8.0814200722591489E-2</v>
      </c>
      <c r="K65">
        <f t="shared" si="0"/>
        <v>-0.18512145426727891</v>
      </c>
      <c r="L65">
        <f t="shared" si="0"/>
        <v>-0.64882782548612539</v>
      </c>
      <c r="M65">
        <f t="shared" si="0"/>
        <v>-0.80279180955267326</v>
      </c>
      <c r="N65">
        <f t="shared" si="0"/>
        <v>-0.27654632976270371</v>
      </c>
      <c r="O65">
        <f t="shared" si="0"/>
        <v>-9.8757636401097665E-2</v>
      </c>
    </row>
    <row r="66" spans="1:15" x14ac:dyDescent="0.15">
      <c r="A66" s="2" t="s">
        <v>47</v>
      </c>
      <c r="B66">
        <f t="shared" ref="B66:O66" si="1">CORREL(B17:B31,B50:B64)</f>
        <v>-0.15935814137129922</v>
      </c>
      <c r="C66">
        <f t="shared" si="1"/>
        <v>-0.45337883898217601</v>
      </c>
      <c r="D66">
        <f t="shared" si="1"/>
        <v>-0.45795114434921391</v>
      </c>
      <c r="E66">
        <f t="shared" si="1"/>
        <v>0.18511883507008775</v>
      </c>
      <c r="F66">
        <f t="shared" si="1"/>
        <v>-0.48349513339203831</v>
      </c>
      <c r="G66">
        <f t="shared" si="1"/>
        <v>0.21930598935573523</v>
      </c>
      <c r="H66">
        <f t="shared" si="1"/>
        <v>-0.26185088958633146</v>
      </c>
      <c r="I66">
        <f t="shared" si="1"/>
        <v>-4.4346050906446784E-2</v>
      </c>
      <c r="J66">
        <f t="shared" si="1"/>
        <v>0.35518860679322178</v>
      </c>
      <c r="K66">
        <f t="shared" si="1"/>
        <v>-0.45507166919787201</v>
      </c>
      <c r="L66">
        <f t="shared" si="1"/>
        <v>-0.27584694407979293</v>
      </c>
      <c r="M66">
        <f t="shared" si="1"/>
        <v>3.2860989179028501E-2</v>
      </c>
      <c r="N66">
        <f t="shared" si="1"/>
        <v>-0.32332189586577587</v>
      </c>
      <c r="O66">
        <f t="shared" si="1"/>
        <v>-6.047320199966888E-2</v>
      </c>
    </row>
    <row r="67" spans="1:15" x14ac:dyDescent="0.15">
      <c r="A67" s="2"/>
    </row>
    <row r="68" spans="1:15" x14ac:dyDescent="0.15">
      <c r="A68" s="2"/>
    </row>
    <row r="69" spans="1:15" x14ac:dyDescent="0.15">
      <c r="A69" s="2" t="s">
        <v>45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">CORREL(B2:B16,B71:B85)</f>
        <v>-0.24880810150702487</v>
      </c>
      <c r="C101">
        <f t="shared" si="2"/>
        <v>-0.39058106975579648</v>
      </c>
      <c r="D101">
        <f t="shared" si="2"/>
        <v>-0.32343344578263894</v>
      </c>
      <c r="E101">
        <f t="shared" si="2"/>
        <v>8.9170685372346181E-2</v>
      </c>
      <c r="F101">
        <f t="shared" si="2"/>
        <v>-0.52072777408294446</v>
      </c>
      <c r="G101">
        <f t="shared" si="2"/>
        <v>0.15924420677153284</v>
      </c>
      <c r="H101">
        <f t="shared" si="2"/>
        <v>-0.80294044080205618</v>
      </c>
      <c r="I101">
        <f t="shared" si="2"/>
        <v>2.6688785891195283E-3</v>
      </c>
      <c r="J101">
        <f t="shared" si="2"/>
        <v>-0.51089762246556969</v>
      </c>
      <c r="K101">
        <f t="shared" si="2"/>
        <v>-0.20224475825321153</v>
      </c>
      <c r="L101">
        <f t="shared" si="2"/>
        <v>-0.43136935894542838</v>
      </c>
      <c r="M101">
        <f t="shared" si="2"/>
        <v>-0.81726373315256207</v>
      </c>
      <c r="N101">
        <f t="shared" si="2"/>
        <v>-8.6726213775559183E-2</v>
      </c>
      <c r="O101">
        <f t="shared" si="2"/>
        <v>-7.8369439657088053E-3</v>
      </c>
    </row>
    <row r="102" spans="1:15" x14ac:dyDescent="0.15">
      <c r="A102" s="4" t="s">
        <v>47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ACFD6-8D8C-4089-8796-235E5F3EC5DF}">
  <dimension ref="A1:EK102"/>
  <sheetViews>
    <sheetView topLeftCell="Z28" zoomScaleNormal="100" workbookViewId="0">
      <selection activeCell="AM35" sqref="AM35:AO47"/>
    </sheetView>
  </sheetViews>
  <sheetFormatPr defaultRowHeight="13.5" x14ac:dyDescent="0.15"/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1.2899996206436399</v>
      </c>
      <c r="C2" s="6">
        <v>0.95798236600750497</v>
      </c>
      <c r="D2" s="6">
        <v>0.5358012746481019</v>
      </c>
      <c r="E2" s="6">
        <v>1.9123958869509781</v>
      </c>
      <c r="F2" s="6">
        <v>0.90234564120029981</v>
      </c>
      <c r="G2" s="6">
        <v>1.216134629737464</v>
      </c>
      <c r="H2" s="6">
        <v>0.86845527141771151</v>
      </c>
      <c r="I2" s="6">
        <v>1.6931392562945049</v>
      </c>
      <c r="J2" s="6">
        <v>0.66694714967470481</v>
      </c>
      <c r="K2" s="6">
        <v>0.86253642796515828</v>
      </c>
      <c r="L2" s="6">
        <v>0.56491557882761578</v>
      </c>
      <c r="M2" s="6">
        <v>0.60911251225999252</v>
      </c>
      <c r="N2" s="6">
        <v>0.6343206709802599</v>
      </c>
      <c r="O2" s="6">
        <v>1.1361953943384311</v>
      </c>
      <c r="P2">
        <f t="shared" ref="P2:AC2" si="0">B3</f>
        <v>0.97946971580847475</v>
      </c>
      <c r="Q2">
        <f t="shared" si="0"/>
        <v>1.1440524142902111</v>
      </c>
      <c r="R2">
        <f t="shared" si="0"/>
        <v>1.3442483931735001</v>
      </c>
      <c r="S2">
        <f t="shared" si="0"/>
        <v>2.2425435123517179</v>
      </c>
      <c r="T2">
        <f t="shared" si="0"/>
        <v>0.52890621927626413</v>
      </c>
      <c r="U2">
        <f t="shared" si="0"/>
        <v>1.528028156814188</v>
      </c>
      <c r="V2">
        <f t="shared" si="0"/>
        <v>1.002977533326483</v>
      </c>
      <c r="W2">
        <f t="shared" si="0"/>
        <v>1.678558390918093</v>
      </c>
      <c r="X2">
        <f t="shared" si="0"/>
        <v>0.53842894184365175</v>
      </c>
      <c r="Y2">
        <f t="shared" si="0"/>
        <v>1.2400526172715469</v>
      </c>
      <c r="Z2">
        <f t="shared" si="0"/>
        <v>0.74723066611225863</v>
      </c>
      <c r="AA2">
        <f t="shared" si="0"/>
        <v>0.70769012203799431</v>
      </c>
      <c r="AB2">
        <f t="shared" si="0"/>
        <v>0.89013959279498989</v>
      </c>
      <c r="AC2">
        <f t="shared" si="0"/>
        <v>1.2145570794018561</v>
      </c>
      <c r="AD2">
        <f t="shared" ref="AD2:AQ2" si="1">B4</f>
        <v>0.92969493860547847</v>
      </c>
      <c r="AE2">
        <f t="shared" si="1"/>
        <v>0.55617169618788231</v>
      </c>
      <c r="AF2">
        <f t="shared" si="1"/>
        <v>0.89600467394837569</v>
      </c>
      <c r="AG2">
        <f t="shared" si="1"/>
        <v>1.76512526843478</v>
      </c>
      <c r="AH2">
        <f t="shared" si="1"/>
        <v>0.32877772866054572</v>
      </c>
      <c r="AI2">
        <f t="shared" si="1"/>
        <v>1.7398168468281989</v>
      </c>
      <c r="AJ2">
        <f t="shared" si="1"/>
        <v>0.58347839442820693</v>
      </c>
      <c r="AK2">
        <f t="shared" si="1"/>
        <v>0.60211822930447889</v>
      </c>
      <c r="AL2">
        <f t="shared" si="1"/>
        <v>0.7692522243971589</v>
      </c>
      <c r="AM2">
        <f t="shared" si="1"/>
        <v>1.33757169069213</v>
      </c>
      <c r="AN2">
        <f t="shared" si="1"/>
        <v>0.65210100711641583</v>
      </c>
      <c r="AO2">
        <f t="shared" si="1"/>
        <v>0.61834402323141635</v>
      </c>
      <c r="AP2">
        <f t="shared" si="1"/>
        <v>0.67802391822903596</v>
      </c>
      <c r="AQ2">
        <f t="shared" si="1"/>
        <v>0.89815743605980136</v>
      </c>
      <c r="AR2">
        <f t="shared" ref="AR2:BE2" si="2">B5</f>
        <v>0.91330520942187765</v>
      </c>
      <c r="AS2">
        <f t="shared" si="2"/>
        <v>0.64951587117040321</v>
      </c>
      <c r="AT2">
        <f t="shared" si="2"/>
        <v>1.2971848936879169</v>
      </c>
      <c r="AU2">
        <f t="shared" si="2"/>
        <v>1.164405069158241</v>
      </c>
      <c r="AV2">
        <f t="shared" si="2"/>
        <v>0.41055053666821911</v>
      </c>
      <c r="AW2">
        <f t="shared" si="2"/>
        <v>1.184948536713603</v>
      </c>
      <c r="AX2">
        <f t="shared" si="2"/>
        <v>0.61376906212569871</v>
      </c>
      <c r="AY2">
        <f t="shared" si="2"/>
        <v>1.5585507119588951</v>
      </c>
      <c r="AZ2">
        <f t="shared" si="2"/>
        <v>1.035630453330648</v>
      </c>
      <c r="BA2">
        <f t="shared" si="2"/>
        <v>1.2259905077664961</v>
      </c>
      <c r="BB2">
        <f t="shared" si="2"/>
        <v>0.55984615095407542</v>
      </c>
      <c r="BC2">
        <f t="shared" si="2"/>
        <v>1.032817236524614</v>
      </c>
      <c r="BD2">
        <f t="shared" si="2"/>
        <v>1.516151956529447</v>
      </c>
      <c r="BE2">
        <f t="shared" si="2"/>
        <v>0.83047880357784243</v>
      </c>
      <c r="BF2">
        <f t="shared" ref="BF2:BS2" si="3">B6</f>
        <v>0.70310965734397501</v>
      </c>
      <c r="BG2">
        <f t="shared" si="3"/>
        <v>0.42215904936996168</v>
      </c>
      <c r="BH2">
        <f t="shared" si="3"/>
        <v>1.049536588060674</v>
      </c>
      <c r="BI2">
        <f t="shared" si="3"/>
        <v>1.440694362629011</v>
      </c>
      <c r="BJ2">
        <f t="shared" si="3"/>
        <v>0.58693477708227271</v>
      </c>
      <c r="BK2">
        <f t="shared" si="3"/>
        <v>0.92815730631862459</v>
      </c>
      <c r="BL2">
        <f t="shared" si="3"/>
        <v>0.63348734092050396</v>
      </c>
      <c r="BM2">
        <f t="shared" si="3"/>
        <v>1.096288809579631</v>
      </c>
      <c r="BN2">
        <f t="shared" si="3"/>
        <v>0.7138714794588592</v>
      </c>
      <c r="BO2">
        <f t="shared" si="3"/>
        <v>0.86679887271006784</v>
      </c>
      <c r="BP2">
        <f t="shared" si="3"/>
        <v>0.67523006042515565</v>
      </c>
      <c r="BQ2">
        <f t="shared" si="3"/>
        <v>1.004664579577871</v>
      </c>
      <c r="BR2">
        <f t="shared" si="3"/>
        <v>1.2412479699734009</v>
      </c>
      <c r="BS2">
        <f t="shared" si="3"/>
        <v>0.88271527868638289</v>
      </c>
    </row>
    <row r="3" spans="1:141" x14ac:dyDescent="0.15">
      <c r="A3" s="1" t="s">
        <v>15</v>
      </c>
      <c r="B3" s="7">
        <v>0.97946971580847475</v>
      </c>
      <c r="C3">
        <v>1.1440524142902111</v>
      </c>
      <c r="D3">
        <v>1.3442483931735001</v>
      </c>
      <c r="E3">
        <v>2.2425435123517179</v>
      </c>
      <c r="F3">
        <v>0.52890621927626413</v>
      </c>
      <c r="G3">
        <v>1.528028156814188</v>
      </c>
      <c r="H3">
        <v>1.002977533326483</v>
      </c>
      <c r="I3">
        <v>1.678558390918093</v>
      </c>
      <c r="J3">
        <v>0.53842894184365175</v>
      </c>
      <c r="K3">
        <v>1.2400526172715469</v>
      </c>
      <c r="L3">
        <v>0.74723066611225863</v>
      </c>
      <c r="M3">
        <v>0.70769012203799431</v>
      </c>
      <c r="N3">
        <v>0.89013959279498989</v>
      </c>
      <c r="O3">
        <v>1.2145570794018561</v>
      </c>
    </row>
    <row r="4" spans="1:141" x14ac:dyDescent="0.15">
      <c r="A4" s="1" t="s">
        <v>16</v>
      </c>
      <c r="B4" s="7">
        <v>0.92969493860547847</v>
      </c>
      <c r="C4">
        <v>0.55617169618788231</v>
      </c>
      <c r="D4">
        <v>0.89600467394837569</v>
      </c>
      <c r="E4">
        <v>1.76512526843478</v>
      </c>
      <c r="F4">
        <v>0.32877772866054572</v>
      </c>
      <c r="G4">
        <v>1.7398168468281989</v>
      </c>
      <c r="H4">
        <v>0.58347839442820693</v>
      </c>
      <c r="I4">
        <v>0.60211822930447889</v>
      </c>
      <c r="J4">
        <v>0.7692522243971589</v>
      </c>
      <c r="K4">
        <v>1.33757169069213</v>
      </c>
      <c r="L4">
        <v>0.65210100711641583</v>
      </c>
      <c r="M4">
        <v>0.61834402323141635</v>
      </c>
      <c r="N4">
        <v>0.67802391822903596</v>
      </c>
      <c r="O4">
        <v>0.89815743605980136</v>
      </c>
    </row>
    <row r="5" spans="1:141" x14ac:dyDescent="0.15">
      <c r="A5" s="1" t="s">
        <v>17</v>
      </c>
      <c r="B5" s="7">
        <v>0.91330520942187765</v>
      </c>
      <c r="C5">
        <v>0.64951587117040321</v>
      </c>
      <c r="D5">
        <v>1.2971848936879169</v>
      </c>
      <c r="E5">
        <v>1.164405069158241</v>
      </c>
      <c r="F5">
        <v>0.41055053666821911</v>
      </c>
      <c r="G5">
        <v>1.184948536713603</v>
      </c>
      <c r="H5">
        <v>0.61376906212569871</v>
      </c>
      <c r="I5">
        <v>1.5585507119588951</v>
      </c>
      <c r="J5">
        <v>1.035630453330648</v>
      </c>
      <c r="K5">
        <v>1.2259905077664961</v>
      </c>
      <c r="L5">
        <v>0.55984615095407542</v>
      </c>
      <c r="M5">
        <v>1.032817236524614</v>
      </c>
      <c r="N5">
        <v>1.516151956529447</v>
      </c>
      <c r="O5">
        <v>0.83047880357784243</v>
      </c>
    </row>
    <row r="6" spans="1:141" ht="14.25" thickBot="1" x14ac:dyDescent="0.2">
      <c r="A6" s="1" t="s">
        <v>18</v>
      </c>
      <c r="B6" s="8">
        <v>0.70310965734397501</v>
      </c>
      <c r="C6" s="9">
        <v>0.42215904936996168</v>
      </c>
      <c r="D6" s="9">
        <v>1.049536588060674</v>
      </c>
      <c r="E6" s="9">
        <v>1.440694362629011</v>
      </c>
      <c r="F6" s="9">
        <v>0.58693477708227271</v>
      </c>
      <c r="G6" s="9">
        <v>0.92815730631862459</v>
      </c>
      <c r="H6" s="9">
        <v>0.63348734092050396</v>
      </c>
      <c r="I6" s="9">
        <v>1.096288809579631</v>
      </c>
      <c r="J6" s="9">
        <v>0.7138714794588592</v>
      </c>
      <c r="K6" s="9">
        <v>0.86679887271006784</v>
      </c>
      <c r="L6" s="9">
        <v>0.67523006042515565</v>
      </c>
      <c r="M6" s="9">
        <v>1.004664579577871</v>
      </c>
      <c r="N6" s="9">
        <v>1.2412479699734009</v>
      </c>
      <c r="O6" s="9">
        <v>0.88271527868638289</v>
      </c>
    </row>
    <row r="7" spans="1:141" x14ac:dyDescent="0.15">
      <c r="A7" s="1" t="s">
        <v>19</v>
      </c>
      <c r="B7" s="10">
        <v>1.3396068649314481</v>
      </c>
      <c r="C7" s="11">
        <v>0.79163905050003247</v>
      </c>
      <c r="D7" s="11">
        <v>1.096323585089894</v>
      </c>
      <c r="E7" s="11">
        <v>1.8033560336695631</v>
      </c>
      <c r="F7" s="11">
        <v>0.72303506897179048</v>
      </c>
      <c r="G7" s="11">
        <v>1.4759403531490529</v>
      </c>
      <c r="H7" s="11">
        <v>1.168037253810587</v>
      </c>
      <c r="I7" s="11">
        <v>1.4859251146170951</v>
      </c>
      <c r="J7" s="11">
        <v>1.3323140793826129</v>
      </c>
      <c r="K7" s="11">
        <v>1.4223388514230091</v>
      </c>
      <c r="L7" s="11">
        <v>0.90651378997828991</v>
      </c>
      <c r="M7" s="11">
        <v>1.773282277559534</v>
      </c>
      <c r="N7" s="11">
        <v>1.507252327918462</v>
      </c>
      <c r="O7" s="11">
        <v>0.98184622416754197</v>
      </c>
      <c r="P7">
        <f t="shared" ref="P7:AC7" si="4">B8</f>
        <v>1.9171425618952169</v>
      </c>
      <c r="Q7">
        <f t="shared" si="4"/>
        <v>1.205348541611861</v>
      </c>
      <c r="R7">
        <f t="shared" si="4"/>
        <v>0.84102253472756194</v>
      </c>
      <c r="S7">
        <f t="shared" si="4"/>
        <v>2.2768716528483219</v>
      </c>
      <c r="T7">
        <f t="shared" si="4"/>
        <v>1.134993922523561</v>
      </c>
      <c r="U7">
        <f t="shared" si="4"/>
        <v>0.58984772341405867</v>
      </c>
      <c r="V7">
        <f t="shared" si="4"/>
        <v>0.99298779463201614</v>
      </c>
      <c r="W7">
        <f t="shared" si="4"/>
        <v>1.4342222498942341</v>
      </c>
      <c r="X7">
        <f t="shared" si="4"/>
        <v>1.053331745034243</v>
      </c>
      <c r="Y7">
        <f t="shared" si="4"/>
        <v>1.188610149592066</v>
      </c>
      <c r="Z7">
        <f t="shared" si="4"/>
        <v>0.78575717527578515</v>
      </c>
      <c r="AA7">
        <f t="shared" si="4"/>
        <v>1.0374240838475071</v>
      </c>
      <c r="AB7">
        <f t="shared" si="4"/>
        <v>0.87354393757562199</v>
      </c>
      <c r="AC7">
        <f t="shared" si="4"/>
        <v>1.4250123444043119</v>
      </c>
      <c r="AD7">
        <f t="shared" ref="AD7:AQ7" si="5">B9</f>
        <v>0.99293238455066035</v>
      </c>
      <c r="AE7">
        <f t="shared" si="5"/>
        <v>1.235226275878988</v>
      </c>
      <c r="AF7">
        <f t="shared" si="5"/>
        <v>1.4988812283670581</v>
      </c>
      <c r="AG7">
        <f t="shared" si="5"/>
        <v>1.5321354778236711</v>
      </c>
      <c r="AH7">
        <f t="shared" si="5"/>
        <v>1.331366454504898</v>
      </c>
      <c r="AI7">
        <f t="shared" si="5"/>
        <v>1.1828041792884849</v>
      </c>
      <c r="AJ7">
        <f t="shared" si="5"/>
        <v>1.2292403938565739</v>
      </c>
      <c r="AK7">
        <f t="shared" si="5"/>
        <v>1.8135782437311181</v>
      </c>
      <c r="AL7">
        <f t="shared" si="5"/>
        <v>0.58576702903594891</v>
      </c>
      <c r="AM7">
        <f t="shared" si="5"/>
        <v>1.641022625308969</v>
      </c>
      <c r="AN7">
        <f t="shared" si="5"/>
        <v>1.167006615019522</v>
      </c>
      <c r="AO7">
        <f t="shared" si="5"/>
        <v>1.1771201872104149</v>
      </c>
      <c r="AP7">
        <f t="shared" si="5"/>
        <v>0.89221452252017697</v>
      </c>
      <c r="AQ7">
        <f t="shared" si="5"/>
        <v>1.1322810917164119</v>
      </c>
      <c r="AR7">
        <f t="shared" ref="AR7:BE7" si="6">B10</f>
        <v>1.2370420042935519</v>
      </c>
      <c r="AS7">
        <f t="shared" si="6"/>
        <v>1.3355874603553901</v>
      </c>
      <c r="AT7">
        <f t="shared" si="6"/>
        <v>0.82412728835029159</v>
      </c>
      <c r="AU7">
        <f t="shared" si="6"/>
        <v>1.442719073970463</v>
      </c>
      <c r="AV7">
        <f t="shared" si="6"/>
        <v>1.2421728333934781</v>
      </c>
      <c r="AW7">
        <f t="shared" si="6"/>
        <v>1.190646538103127</v>
      </c>
      <c r="AX7">
        <f t="shared" si="6"/>
        <v>1.4483295955277971</v>
      </c>
      <c r="AY7">
        <f t="shared" si="6"/>
        <v>1.1118916669039021</v>
      </c>
      <c r="AZ7">
        <f t="shared" si="6"/>
        <v>1.1665997820615699</v>
      </c>
      <c r="BA7">
        <f t="shared" si="6"/>
        <v>0.76487754435030475</v>
      </c>
      <c r="BB7">
        <f t="shared" si="6"/>
        <v>1.0546269712372991</v>
      </c>
      <c r="BC7">
        <f t="shared" si="6"/>
        <v>1.200016711197061</v>
      </c>
      <c r="BD7">
        <f t="shared" si="6"/>
        <v>1.0023735055530101</v>
      </c>
      <c r="BE7">
        <f t="shared" si="6"/>
        <v>1.2681498097803481</v>
      </c>
      <c r="BF7">
        <f t="shared" ref="BF7:BS7" si="7">B11</f>
        <v>1.4234359729333259</v>
      </c>
      <c r="BG7">
        <f t="shared" si="7"/>
        <v>1.365155847882211</v>
      </c>
      <c r="BH7">
        <f t="shared" si="7"/>
        <v>0.62360181547727789</v>
      </c>
      <c r="BI7">
        <f t="shared" si="7"/>
        <v>1.5101561197623921</v>
      </c>
      <c r="BJ7">
        <f t="shared" si="7"/>
        <v>1.0179586300180721</v>
      </c>
      <c r="BK7">
        <f t="shared" si="7"/>
        <v>1.514135579910306</v>
      </c>
      <c r="BL7">
        <f t="shared" si="7"/>
        <v>1.068462171249265</v>
      </c>
      <c r="BM7">
        <f t="shared" si="7"/>
        <v>1.680983474321013</v>
      </c>
      <c r="BN7">
        <f t="shared" si="7"/>
        <v>0.58395602252791412</v>
      </c>
      <c r="BO7">
        <f t="shared" si="7"/>
        <v>1.201862075900366</v>
      </c>
      <c r="BP7">
        <f t="shared" si="7"/>
        <v>1.0628082449242979</v>
      </c>
      <c r="BQ7">
        <f t="shared" si="7"/>
        <v>1.2723963465559061</v>
      </c>
      <c r="BR7">
        <f t="shared" si="7"/>
        <v>1.169671135926581</v>
      </c>
      <c r="BS7">
        <f t="shared" si="7"/>
        <v>0.85310749630981542</v>
      </c>
      <c r="BT7">
        <f t="shared" ref="BT7:CG7" si="8">B12</f>
        <v>1.1089314184963159</v>
      </c>
      <c r="BU7">
        <f t="shared" si="8"/>
        <v>0.68630909128483752</v>
      </c>
      <c r="BV7">
        <f t="shared" si="8"/>
        <v>1.235532385561553</v>
      </c>
      <c r="BW7">
        <f t="shared" si="8"/>
        <v>1.114499443159364</v>
      </c>
      <c r="BX7">
        <f t="shared" si="8"/>
        <v>1.026984466491623</v>
      </c>
      <c r="BY7">
        <f t="shared" si="8"/>
        <v>1.45963437668273</v>
      </c>
      <c r="BZ7">
        <f t="shared" si="8"/>
        <v>1.493423134732182</v>
      </c>
      <c r="CA7">
        <f t="shared" si="8"/>
        <v>1.255368906126717</v>
      </c>
      <c r="CB7">
        <f t="shared" si="8"/>
        <v>0.86187740482723141</v>
      </c>
      <c r="CC7">
        <f t="shared" si="8"/>
        <v>1.1645774192395559</v>
      </c>
      <c r="CD7">
        <f t="shared" si="8"/>
        <v>1.59876211999048</v>
      </c>
      <c r="CE7">
        <f t="shared" si="8"/>
        <v>1.080532860228004</v>
      </c>
      <c r="CF7">
        <f t="shared" si="8"/>
        <v>0.88989987024672768</v>
      </c>
      <c r="CG7">
        <f t="shared" si="8"/>
        <v>0.62027573417404347</v>
      </c>
      <c r="CH7">
        <f t="shared" ref="CH7:CU7" si="9">B13</f>
        <v>1.291541359131549</v>
      </c>
      <c r="CI7">
        <f t="shared" si="9"/>
        <v>0.91169908821281775</v>
      </c>
      <c r="CJ7">
        <f t="shared" si="9"/>
        <v>1.5261480648274539</v>
      </c>
      <c r="CK7">
        <f t="shared" si="9"/>
        <v>1.4493920701791649</v>
      </c>
      <c r="CL7">
        <f t="shared" si="9"/>
        <v>0.56449888782966817</v>
      </c>
      <c r="CM7">
        <f t="shared" si="9"/>
        <v>1.391941135377879</v>
      </c>
      <c r="CN7">
        <f t="shared" si="9"/>
        <v>0.96239415842583309</v>
      </c>
      <c r="CO7">
        <f t="shared" si="9"/>
        <v>1.8224951165462639</v>
      </c>
      <c r="CP7">
        <f t="shared" si="9"/>
        <v>0.96261060586092917</v>
      </c>
      <c r="CQ7">
        <f t="shared" si="9"/>
        <v>0.71577112605556537</v>
      </c>
      <c r="CR7">
        <f t="shared" si="9"/>
        <v>1.0970942679786071</v>
      </c>
      <c r="CS7">
        <f t="shared" si="9"/>
        <v>1.478458609569953</v>
      </c>
      <c r="CT7">
        <f t="shared" si="9"/>
        <v>1.004872412650536</v>
      </c>
      <c r="CU7">
        <f t="shared" si="9"/>
        <v>1.046668992686862</v>
      </c>
      <c r="CV7">
        <f t="shared" ref="CV7:DI7" si="10">B14</f>
        <v>1.089098601856815</v>
      </c>
      <c r="CW7">
        <f t="shared" si="10"/>
        <v>1.277279214048066</v>
      </c>
      <c r="CX7">
        <f t="shared" si="10"/>
        <v>0.9708217602574275</v>
      </c>
      <c r="CY7">
        <f t="shared" si="10"/>
        <v>1.5081093662994209</v>
      </c>
      <c r="CZ7">
        <f t="shared" si="10"/>
        <v>0.68897683759115769</v>
      </c>
      <c r="DA7">
        <f t="shared" si="10"/>
        <v>1.394959983664215</v>
      </c>
      <c r="DB7">
        <f t="shared" si="10"/>
        <v>1.0860767243581551</v>
      </c>
      <c r="DC7">
        <f t="shared" si="10"/>
        <v>1.866480978308322</v>
      </c>
      <c r="DD7">
        <f t="shared" si="10"/>
        <v>0.95739671649308655</v>
      </c>
      <c r="DE7">
        <f t="shared" si="10"/>
        <v>1.221472867038472</v>
      </c>
      <c r="DF7">
        <f t="shared" si="10"/>
        <v>0.99578882179003292</v>
      </c>
      <c r="DG7">
        <f t="shared" si="10"/>
        <v>1.48127429412348</v>
      </c>
      <c r="DH7">
        <f t="shared" si="10"/>
        <v>0.79259194542335565</v>
      </c>
      <c r="DI7">
        <f t="shared" si="10"/>
        <v>0.56464536323932502</v>
      </c>
      <c r="DJ7">
        <f t="shared" ref="DJ7:DW7" si="11">B15</f>
        <v>0.98372651058179494</v>
      </c>
      <c r="DK7">
        <f t="shared" si="11"/>
        <v>1.019299236793229</v>
      </c>
      <c r="DL7">
        <f t="shared" si="11"/>
        <v>0.90986606682470161</v>
      </c>
      <c r="DM7">
        <f t="shared" si="11"/>
        <v>1.9335837435333341</v>
      </c>
      <c r="DN7">
        <f t="shared" si="11"/>
        <v>0.84390010720365727</v>
      </c>
      <c r="DO7">
        <f t="shared" si="11"/>
        <v>0.98574639477717818</v>
      </c>
      <c r="DP7">
        <f t="shared" si="11"/>
        <v>1.3981309524089161</v>
      </c>
      <c r="DQ7">
        <f t="shared" si="11"/>
        <v>1.469806026150027</v>
      </c>
      <c r="DR7">
        <f t="shared" si="11"/>
        <v>1.532537361273421</v>
      </c>
      <c r="DS7">
        <f t="shared" si="11"/>
        <v>1.3636513598179769</v>
      </c>
      <c r="DT7">
        <f t="shared" si="11"/>
        <v>1.122800801378786</v>
      </c>
      <c r="DU7">
        <f t="shared" si="11"/>
        <v>1.0873446391867749</v>
      </c>
      <c r="DV7">
        <f t="shared" si="11"/>
        <v>0.90170806999882436</v>
      </c>
      <c r="DW7">
        <f t="shared" si="11"/>
        <v>0.88608984740847296</v>
      </c>
      <c r="DX7">
        <f t="shared" ref="DX7:EK7" si="12">B16</f>
        <v>1.273338643178485</v>
      </c>
      <c r="DY7">
        <f t="shared" si="12"/>
        <v>0.69722150502008418</v>
      </c>
      <c r="DZ7">
        <f t="shared" si="12"/>
        <v>0.96860117614693375</v>
      </c>
      <c r="EA7">
        <f t="shared" si="12"/>
        <v>1.423320042287378</v>
      </c>
      <c r="EB7">
        <f t="shared" si="12"/>
        <v>1.0336192653745819</v>
      </c>
      <c r="EC7">
        <f t="shared" si="12"/>
        <v>1.0947727234954461</v>
      </c>
      <c r="ED7">
        <f t="shared" si="12"/>
        <v>1.3765434152787379</v>
      </c>
      <c r="EE7">
        <f t="shared" si="12"/>
        <v>1.338325557297865</v>
      </c>
      <c r="EF7">
        <f t="shared" si="12"/>
        <v>0.58639622700943494</v>
      </c>
      <c r="EG7">
        <f t="shared" si="12"/>
        <v>1.2428257575253261</v>
      </c>
      <c r="EH7">
        <f t="shared" si="12"/>
        <v>1.361063137162378</v>
      </c>
      <c r="EI7">
        <f t="shared" si="12"/>
        <v>1.269041800908145</v>
      </c>
      <c r="EJ7">
        <f t="shared" si="12"/>
        <v>1.015021036940658</v>
      </c>
      <c r="EK7">
        <f t="shared" si="12"/>
        <v>0.85966429683351353</v>
      </c>
    </row>
    <row r="8" spans="1:141" x14ac:dyDescent="0.15">
      <c r="A8" s="1" t="s">
        <v>20</v>
      </c>
      <c r="B8" s="7">
        <v>1.9171425618952169</v>
      </c>
      <c r="C8">
        <v>1.205348541611861</v>
      </c>
      <c r="D8">
        <v>0.84102253472756194</v>
      </c>
      <c r="E8">
        <v>2.2768716528483219</v>
      </c>
      <c r="F8">
        <v>1.134993922523561</v>
      </c>
      <c r="G8">
        <v>0.58984772341405867</v>
      </c>
      <c r="H8">
        <v>0.99298779463201614</v>
      </c>
      <c r="I8">
        <v>1.4342222498942341</v>
      </c>
      <c r="J8">
        <v>1.053331745034243</v>
      </c>
      <c r="K8">
        <v>1.188610149592066</v>
      </c>
      <c r="L8">
        <v>0.78575717527578515</v>
      </c>
      <c r="M8">
        <v>1.0374240838475071</v>
      </c>
      <c r="N8">
        <v>0.87354393757562199</v>
      </c>
      <c r="O8">
        <v>1.4250123444043119</v>
      </c>
    </row>
    <row r="9" spans="1:141" x14ac:dyDescent="0.15">
      <c r="A9" s="1" t="s">
        <v>21</v>
      </c>
      <c r="B9" s="7">
        <v>0.99293238455066035</v>
      </c>
      <c r="C9">
        <v>1.235226275878988</v>
      </c>
      <c r="D9">
        <v>1.4988812283670581</v>
      </c>
      <c r="E9">
        <v>1.5321354778236711</v>
      </c>
      <c r="F9">
        <v>1.331366454504898</v>
      </c>
      <c r="G9">
        <v>1.1828041792884849</v>
      </c>
      <c r="H9">
        <v>1.2292403938565739</v>
      </c>
      <c r="I9">
        <v>1.8135782437311181</v>
      </c>
      <c r="J9">
        <v>0.58576702903594891</v>
      </c>
      <c r="K9">
        <v>1.641022625308969</v>
      </c>
      <c r="L9">
        <v>1.167006615019522</v>
      </c>
      <c r="M9">
        <v>1.1771201872104149</v>
      </c>
      <c r="N9">
        <v>0.89221452252017697</v>
      </c>
      <c r="O9">
        <v>1.1322810917164119</v>
      </c>
    </row>
    <row r="10" spans="1:141" x14ac:dyDescent="0.15">
      <c r="A10" s="1" t="s">
        <v>22</v>
      </c>
      <c r="B10" s="7">
        <v>1.2370420042935519</v>
      </c>
      <c r="C10">
        <v>1.3355874603553901</v>
      </c>
      <c r="D10">
        <v>0.82412728835029159</v>
      </c>
      <c r="E10">
        <v>1.442719073970463</v>
      </c>
      <c r="F10">
        <v>1.2421728333934781</v>
      </c>
      <c r="G10">
        <v>1.190646538103127</v>
      </c>
      <c r="H10">
        <v>1.4483295955277971</v>
      </c>
      <c r="I10">
        <v>1.1118916669039021</v>
      </c>
      <c r="J10">
        <v>1.1665997820615699</v>
      </c>
      <c r="K10">
        <v>0.76487754435030475</v>
      </c>
      <c r="L10">
        <v>1.0546269712372991</v>
      </c>
      <c r="M10">
        <v>1.200016711197061</v>
      </c>
      <c r="N10">
        <v>1.0023735055530101</v>
      </c>
      <c r="O10">
        <v>1.2681498097803481</v>
      </c>
    </row>
    <row r="11" spans="1:141" x14ac:dyDescent="0.15">
      <c r="A11" s="1" t="s">
        <v>23</v>
      </c>
      <c r="B11" s="7">
        <v>1.4234359729333259</v>
      </c>
      <c r="C11">
        <v>1.365155847882211</v>
      </c>
      <c r="D11">
        <v>0.62360181547727789</v>
      </c>
      <c r="E11">
        <v>1.5101561197623921</v>
      </c>
      <c r="F11">
        <v>1.0179586300180721</v>
      </c>
      <c r="G11">
        <v>1.514135579910306</v>
      </c>
      <c r="H11">
        <v>1.068462171249265</v>
      </c>
      <c r="I11">
        <v>1.680983474321013</v>
      </c>
      <c r="J11">
        <v>0.58395602252791412</v>
      </c>
      <c r="K11">
        <v>1.201862075900366</v>
      </c>
      <c r="L11">
        <v>1.0628082449242979</v>
      </c>
      <c r="M11">
        <v>1.2723963465559061</v>
      </c>
      <c r="N11">
        <v>1.169671135926581</v>
      </c>
      <c r="O11">
        <v>0.85310749630981542</v>
      </c>
    </row>
    <row r="12" spans="1:141" x14ac:dyDescent="0.15">
      <c r="A12" s="1" t="s">
        <v>24</v>
      </c>
      <c r="B12" s="7">
        <v>1.1089314184963159</v>
      </c>
      <c r="C12">
        <v>0.68630909128483752</v>
      </c>
      <c r="D12">
        <v>1.235532385561553</v>
      </c>
      <c r="E12">
        <v>1.114499443159364</v>
      </c>
      <c r="F12">
        <v>1.026984466491623</v>
      </c>
      <c r="G12">
        <v>1.45963437668273</v>
      </c>
      <c r="H12">
        <v>1.493423134732182</v>
      </c>
      <c r="I12">
        <v>1.255368906126717</v>
      </c>
      <c r="J12">
        <v>0.86187740482723141</v>
      </c>
      <c r="K12">
        <v>1.1645774192395559</v>
      </c>
      <c r="L12">
        <v>1.59876211999048</v>
      </c>
      <c r="M12">
        <v>1.080532860228004</v>
      </c>
      <c r="N12">
        <v>0.88989987024672768</v>
      </c>
      <c r="O12">
        <v>0.62027573417404347</v>
      </c>
    </row>
    <row r="13" spans="1:141" x14ac:dyDescent="0.15">
      <c r="A13" s="1" t="s">
        <v>25</v>
      </c>
      <c r="B13" s="7">
        <v>1.291541359131549</v>
      </c>
      <c r="C13">
        <v>0.91169908821281775</v>
      </c>
      <c r="D13">
        <v>1.5261480648274539</v>
      </c>
      <c r="E13">
        <v>1.4493920701791649</v>
      </c>
      <c r="F13">
        <v>0.56449888782966817</v>
      </c>
      <c r="G13">
        <v>1.391941135377879</v>
      </c>
      <c r="H13">
        <v>0.96239415842583309</v>
      </c>
      <c r="I13">
        <v>1.8224951165462639</v>
      </c>
      <c r="J13">
        <v>0.96261060586092917</v>
      </c>
      <c r="K13">
        <v>0.71577112605556537</v>
      </c>
      <c r="L13">
        <v>1.0970942679786071</v>
      </c>
      <c r="M13">
        <v>1.478458609569953</v>
      </c>
      <c r="N13">
        <v>1.004872412650536</v>
      </c>
      <c r="O13">
        <v>1.046668992686862</v>
      </c>
    </row>
    <row r="14" spans="1:141" x14ac:dyDescent="0.15">
      <c r="A14" s="1" t="s">
        <v>26</v>
      </c>
      <c r="B14" s="7">
        <v>1.089098601856815</v>
      </c>
      <c r="C14">
        <v>1.277279214048066</v>
      </c>
      <c r="D14">
        <v>0.9708217602574275</v>
      </c>
      <c r="E14">
        <v>1.5081093662994209</v>
      </c>
      <c r="F14">
        <v>0.68897683759115769</v>
      </c>
      <c r="G14">
        <v>1.394959983664215</v>
      </c>
      <c r="H14">
        <v>1.0860767243581551</v>
      </c>
      <c r="I14">
        <v>1.866480978308322</v>
      </c>
      <c r="J14">
        <v>0.95739671649308655</v>
      </c>
      <c r="K14">
        <v>1.221472867038472</v>
      </c>
      <c r="L14">
        <v>0.99578882179003292</v>
      </c>
      <c r="M14">
        <v>1.48127429412348</v>
      </c>
      <c r="N14">
        <v>0.79259194542335565</v>
      </c>
      <c r="O14">
        <v>0.56464536323932502</v>
      </c>
    </row>
    <row r="15" spans="1:141" x14ac:dyDescent="0.15">
      <c r="A15" s="1" t="s">
        <v>27</v>
      </c>
      <c r="B15" s="7">
        <v>0.98372651058179494</v>
      </c>
      <c r="C15">
        <v>1.019299236793229</v>
      </c>
      <c r="D15">
        <v>0.90986606682470161</v>
      </c>
      <c r="E15">
        <v>1.9335837435333341</v>
      </c>
      <c r="F15">
        <v>0.84390010720365727</v>
      </c>
      <c r="G15">
        <v>0.98574639477717818</v>
      </c>
      <c r="H15">
        <v>1.3981309524089161</v>
      </c>
      <c r="I15">
        <v>1.469806026150027</v>
      </c>
      <c r="J15">
        <v>1.532537361273421</v>
      </c>
      <c r="K15">
        <v>1.3636513598179769</v>
      </c>
      <c r="L15">
        <v>1.122800801378786</v>
      </c>
      <c r="M15">
        <v>1.0873446391867749</v>
      </c>
      <c r="N15">
        <v>0.90170806999882436</v>
      </c>
      <c r="O15">
        <v>0.88608984740847296</v>
      </c>
    </row>
    <row r="16" spans="1:141" ht="14.25" thickBot="1" x14ac:dyDescent="0.2">
      <c r="A16" s="1" t="s">
        <v>28</v>
      </c>
      <c r="B16" s="8">
        <v>1.273338643178485</v>
      </c>
      <c r="C16" s="9">
        <v>0.69722150502008418</v>
      </c>
      <c r="D16" s="9">
        <v>0.96860117614693375</v>
      </c>
      <c r="E16" s="9">
        <v>1.423320042287378</v>
      </c>
      <c r="F16" s="9">
        <v>1.0336192653745819</v>
      </c>
      <c r="G16" s="9">
        <v>1.0947727234954461</v>
      </c>
      <c r="H16" s="9">
        <v>1.3765434152787379</v>
      </c>
      <c r="I16" s="9">
        <v>1.338325557297865</v>
      </c>
      <c r="J16" s="9">
        <v>0.58639622700943494</v>
      </c>
      <c r="K16" s="9">
        <v>1.2428257575253261</v>
      </c>
      <c r="L16" s="9">
        <v>1.361063137162378</v>
      </c>
      <c r="M16" s="9">
        <v>1.269041800908145</v>
      </c>
      <c r="N16" s="9">
        <v>1.015021036940658</v>
      </c>
      <c r="O16" s="9">
        <v>0.85966429683351353</v>
      </c>
    </row>
    <row r="17" spans="1:141" x14ac:dyDescent="0.15">
      <c r="A17" s="1" t="s">
        <v>29</v>
      </c>
      <c r="B17" s="10">
        <v>2.9242385403549309</v>
      </c>
      <c r="C17" s="11">
        <v>3.0602687928713099E-2</v>
      </c>
      <c r="D17" s="11">
        <v>0.93670274010951449</v>
      </c>
      <c r="E17" s="11">
        <v>2.523482324345165</v>
      </c>
      <c r="F17" s="11">
        <v>0.15264932839526879</v>
      </c>
      <c r="G17" s="11">
        <v>1.148276280987359</v>
      </c>
      <c r="H17" s="11">
        <v>0.58066828893662514</v>
      </c>
      <c r="I17" s="11">
        <v>1.921306587229658</v>
      </c>
      <c r="J17" s="11">
        <v>0.71539125528065917</v>
      </c>
      <c r="K17" s="11">
        <v>0.33940366677229589</v>
      </c>
      <c r="L17" s="11">
        <v>1.2329717162703191</v>
      </c>
      <c r="M17" s="11">
        <v>0.78336829522237472</v>
      </c>
      <c r="N17" s="11">
        <v>1.0094413245598219</v>
      </c>
      <c r="O17" s="11">
        <v>3.1314919870044791</v>
      </c>
      <c r="P17">
        <f t="shared" ref="P17:AC17" si="13">B18</f>
        <v>1.787070271566144</v>
      </c>
      <c r="Q17">
        <f t="shared" si="13"/>
        <v>1.128077018694138</v>
      </c>
      <c r="R17">
        <f t="shared" si="13"/>
        <v>1.025141272267907</v>
      </c>
      <c r="S17">
        <f t="shared" si="13"/>
        <v>0.7840771602028469</v>
      </c>
      <c r="T17">
        <f t="shared" si="13"/>
        <v>0.1292413707750181</v>
      </c>
      <c r="U17">
        <f t="shared" si="13"/>
        <v>3.0482318951711411</v>
      </c>
      <c r="V17">
        <f t="shared" si="13"/>
        <v>0.6658728861986255</v>
      </c>
      <c r="W17">
        <f t="shared" si="13"/>
        <v>0.35999976570737119</v>
      </c>
      <c r="X17">
        <f t="shared" si="13"/>
        <v>0.24054234906406069</v>
      </c>
      <c r="Y17">
        <f t="shared" si="13"/>
        <v>0.13290534237434881</v>
      </c>
      <c r="Z17">
        <f t="shared" si="13"/>
        <v>0.30877470433908472</v>
      </c>
      <c r="AA17">
        <f t="shared" si="13"/>
        <v>3.1069439159074128</v>
      </c>
      <c r="AB17">
        <f t="shared" si="13"/>
        <v>0.28605144171732111</v>
      </c>
      <c r="AC17">
        <f t="shared" si="13"/>
        <v>0.20769660715589541</v>
      </c>
      <c r="AD17">
        <f t="shared" ref="AD17:AQ17" si="14">B19</f>
        <v>1.306558890303388</v>
      </c>
      <c r="AE17">
        <f t="shared" si="14"/>
        <v>2.3251622810468629E-2</v>
      </c>
      <c r="AF17">
        <f t="shared" si="14"/>
        <v>0.49271871556254571</v>
      </c>
      <c r="AG17">
        <f t="shared" si="14"/>
        <v>1.5273454314033761</v>
      </c>
      <c r="AH17">
        <f t="shared" si="14"/>
        <v>1.9061554139701471</v>
      </c>
      <c r="AI17">
        <f t="shared" si="14"/>
        <v>1.1380883881056141</v>
      </c>
      <c r="AJ17">
        <f t="shared" si="14"/>
        <v>2.0691095064332949</v>
      </c>
      <c r="AK17">
        <f t="shared" si="14"/>
        <v>1.414820708106862</v>
      </c>
      <c r="AL17">
        <f t="shared" si="14"/>
        <v>0.55478057036006356</v>
      </c>
      <c r="AM17">
        <f t="shared" si="14"/>
        <v>0.96493510367673885</v>
      </c>
      <c r="AN17">
        <f t="shared" si="14"/>
        <v>2.244909939882882</v>
      </c>
      <c r="AO17">
        <f t="shared" si="14"/>
        <v>1.173721630740846</v>
      </c>
      <c r="AP17">
        <f t="shared" si="14"/>
        <v>1.0307012769439969</v>
      </c>
      <c r="AQ17">
        <f t="shared" si="14"/>
        <v>0.46364760900080271</v>
      </c>
      <c r="AR17">
        <f t="shared" ref="AR17:BE17" si="15">B20</f>
        <v>2.1026131741430478</v>
      </c>
      <c r="AS17">
        <f t="shared" si="15"/>
        <v>1.4581911966785821</v>
      </c>
      <c r="AT17">
        <f t="shared" si="15"/>
        <v>1.0087805809382571</v>
      </c>
      <c r="AU17">
        <f t="shared" si="15"/>
        <v>1.4836379934520849</v>
      </c>
      <c r="AV17">
        <f t="shared" si="15"/>
        <v>1.183989608241077</v>
      </c>
      <c r="AW17">
        <f t="shared" si="15"/>
        <v>0.77399245572122177</v>
      </c>
      <c r="AX17">
        <f t="shared" si="15"/>
        <v>1.161357263027196</v>
      </c>
      <c r="AY17">
        <f t="shared" si="15"/>
        <v>2.008413467349659</v>
      </c>
      <c r="AZ17">
        <f t="shared" si="15"/>
        <v>3.0293759918778019E-2</v>
      </c>
      <c r="BA17">
        <f t="shared" si="15"/>
        <v>0.81233046742939385</v>
      </c>
      <c r="BB17">
        <f t="shared" si="15"/>
        <v>1.4765702750531799</v>
      </c>
      <c r="BC17">
        <f t="shared" si="15"/>
        <v>1.377439602635993</v>
      </c>
      <c r="BD17">
        <f t="shared" si="15"/>
        <v>0.69171868431466643</v>
      </c>
      <c r="BE17">
        <f t="shared" si="15"/>
        <v>1.271314703670579</v>
      </c>
      <c r="BF17">
        <f t="shared" ref="BF17:BS17" si="16">B21</f>
        <v>1.3958243770568499</v>
      </c>
      <c r="BG17">
        <f t="shared" si="16"/>
        <v>1.147605612141759</v>
      </c>
      <c r="BH17">
        <f t="shared" si="16"/>
        <v>0.78325056119343106</v>
      </c>
      <c r="BI17">
        <f t="shared" si="16"/>
        <v>1.1780066815547361</v>
      </c>
      <c r="BJ17">
        <f t="shared" si="16"/>
        <v>1.4077512707964011</v>
      </c>
      <c r="BK17">
        <f t="shared" si="16"/>
        <v>1.452368681063245</v>
      </c>
      <c r="BL17">
        <f t="shared" si="16"/>
        <v>0.83748054790598203</v>
      </c>
      <c r="BM17">
        <f t="shared" si="16"/>
        <v>1.2537256797572021</v>
      </c>
      <c r="BN17">
        <f t="shared" si="16"/>
        <v>0.89747517040016866</v>
      </c>
      <c r="BO17">
        <f t="shared" si="16"/>
        <v>1.306263032783846</v>
      </c>
      <c r="BP17">
        <f t="shared" si="16"/>
        <v>1.401905085546149</v>
      </c>
      <c r="BQ17">
        <f t="shared" si="16"/>
        <v>1.304623675557905</v>
      </c>
      <c r="BR17">
        <f t="shared" si="16"/>
        <v>2.5132828100941409</v>
      </c>
      <c r="BS17">
        <f t="shared" si="16"/>
        <v>1.249922438157381</v>
      </c>
    </row>
    <row r="18" spans="1:141" x14ac:dyDescent="0.15">
      <c r="A18" s="1" t="s">
        <v>30</v>
      </c>
      <c r="B18" s="7">
        <v>1.787070271566144</v>
      </c>
      <c r="C18">
        <v>1.128077018694138</v>
      </c>
      <c r="D18">
        <v>1.025141272267907</v>
      </c>
      <c r="E18">
        <v>0.7840771602028469</v>
      </c>
      <c r="F18">
        <v>0.1292413707750181</v>
      </c>
      <c r="G18">
        <v>3.0482318951711411</v>
      </c>
      <c r="H18">
        <v>0.6658728861986255</v>
      </c>
      <c r="I18">
        <v>0.35999976570737119</v>
      </c>
      <c r="J18">
        <v>0.24054234906406069</v>
      </c>
      <c r="K18">
        <v>0.13290534237434881</v>
      </c>
      <c r="L18">
        <v>0.30877470433908472</v>
      </c>
      <c r="M18">
        <v>3.1069439159074128</v>
      </c>
      <c r="N18">
        <v>0.28605144171732111</v>
      </c>
      <c r="O18">
        <v>0.20769660715589541</v>
      </c>
    </row>
    <row r="19" spans="1:141" x14ac:dyDescent="0.15">
      <c r="A19" s="1" t="s">
        <v>31</v>
      </c>
      <c r="B19" s="7">
        <v>1.306558890303388</v>
      </c>
      <c r="C19">
        <v>2.3251622810468629E-2</v>
      </c>
      <c r="D19">
        <v>0.49271871556254571</v>
      </c>
      <c r="E19">
        <v>1.5273454314033761</v>
      </c>
      <c r="F19">
        <v>1.9061554139701471</v>
      </c>
      <c r="G19">
        <v>1.1380883881056141</v>
      </c>
      <c r="H19">
        <v>2.0691095064332949</v>
      </c>
      <c r="I19">
        <v>1.414820708106862</v>
      </c>
      <c r="J19">
        <v>0.55478057036006356</v>
      </c>
      <c r="K19">
        <v>0.96493510367673885</v>
      </c>
      <c r="L19">
        <v>2.244909939882882</v>
      </c>
      <c r="M19">
        <v>1.173721630740846</v>
      </c>
      <c r="N19">
        <v>1.0307012769439969</v>
      </c>
      <c r="O19">
        <v>0.46364760900080271</v>
      </c>
    </row>
    <row r="20" spans="1:141" x14ac:dyDescent="0.15">
      <c r="A20" s="1" t="s">
        <v>32</v>
      </c>
      <c r="B20" s="7">
        <v>2.1026131741430478</v>
      </c>
      <c r="C20">
        <v>1.4581911966785821</v>
      </c>
      <c r="D20">
        <v>1.0087805809382571</v>
      </c>
      <c r="E20">
        <v>1.4836379934520849</v>
      </c>
      <c r="F20">
        <v>1.183989608241077</v>
      </c>
      <c r="G20">
        <v>0.77399245572122177</v>
      </c>
      <c r="H20">
        <v>1.161357263027196</v>
      </c>
      <c r="I20">
        <v>2.008413467349659</v>
      </c>
      <c r="J20">
        <v>3.0293759918778019E-2</v>
      </c>
      <c r="K20">
        <v>0.81233046742939385</v>
      </c>
      <c r="L20">
        <v>1.4765702750531799</v>
      </c>
      <c r="M20">
        <v>1.377439602635993</v>
      </c>
      <c r="N20">
        <v>0.69171868431466643</v>
      </c>
      <c r="O20">
        <v>1.271314703670579</v>
      </c>
    </row>
    <row r="21" spans="1:141" ht="14.25" thickBot="1" x14ac:dyDescent="0.2">
      <c r="A21" s="1" t="s">
        <v>33</v>
      </c>
      <c r="B21" s="8">
        <v>1.3958243770568499</v>
      </c>
      <c r="C21" s="9">
        <v>1.147605612141759</v>
      </c>
      <c r="D21" s="9">
        <v>0.78325056119343106</v>
      </c>
      <c r="E21" s="9">
        <v>1.1780066815547361</v>
      </c>
      <c r="F21" s="9">
        <v>1.4077512707964011</v>
      </c>
      <c r="G21" s="9">
        <v>1.452368681063245</v>
      </c>
      <c r="H21" s="9">
        <v>0.83748054790598203</v>
      </c>
      <c r="I21" s="9">
        <v>1.2537256797572021</v>
      </c>
      <c r="J21" s="9">
        <v>0.89747517040016866</v>
      </c>
      <c r="K21" s="9">
        <v>1.306263032783846</v>
      </c>
      <c r="L21" s="9">
        <v>1.401905085546149</v>
      </c>
      <c r="M21" s="9">
        <v>1.304623675557905</v>
      </c>
      <c r="N21" s="9">
        <v>2.5132828100941409</v>
      </c>
      <c r="O21" s="9">
        <v>1.249922438157381</v>
      </c>
    </row>
    <row r="22" spans="1:141" x14ac:dyDescent="0.15">
      <c r="A22" s="1" t="s">
        <v>34</v>
      </c>
      <c r="B22">
        <v>1.2541312073687201</v>
      </c>
      <c r="C22">
        <v>1.868959198329138</v>
      </c>
      <c r="D22">
        <v>1.1085733300020411</v>
      </c>
      <c r="E22">
        <v>1.225240746213184</v>
      </c>
      <c r="F22">
        <v>0.55830011003722346</v>
      </c>
      <c r="G22">
        <v>1.046719007194493</v>
      </c>
      <c r="H22">
        <v>1.749243066771081</v>
      </c>
      <c r="I22">
        <v>2.0436497372271241</v>
      </c>
      <c r="J22">
        <v>0.27920096565605101</v>
      </c>
      <c r="K22">
        <v>1.3834642905524639</v>
      </c>
      <c r="L22">
        <v>1.113251522952774</v>
      </c>
      <c r="M22">
        <v>1.489942467354316</v>
      </c>
      <c r="N22">
        <v>1.5641754035142501</v>
      </c>
      <c r="O22">
        <v>2.677945044588987</v>
      </c>
      <c r="P22">
        <f t="shared" ref="P22:AC22" si="17">B23</f>
        <v>0.15119801210543141</v>
      </c>
      <c r="Q22">
        <f t="shared" si="17"/>
        <v>0.53202391232986157</v>
      </c>
      <c r="R22">
        <f t="shared" si="17"/>
        <v>1.405647649380267</v>
      </c>
      <c r="S22">
        <f t="shared" si="17"/>
        <v>1.5285122845810211</v>
      </c>
      <c r="T22">
        <f t="shared" si="17"/>
        <v>1.026622935622644</v>
      </c>
      <c r="U22">
        <f t="shared" si="17"/>
        <v>1.1571813862403979</v>
      </c>
      <c r="V22">
        <f t="shared" si="17"/>
        <v>1.495694672889696</v>
      </c>
      <c r="W22">
        <f t="shared" si="17"/>
        <v>1.510502915945845</v>
      </c>
      <c r="X22">
        <f t="shared" si="17"/>
        <v>1.3363405451368111</v>
      </c>
      <c r="Y22">
        <f t="shared" si="17"/>
        <v>1.6698751159784799</v>
      </c>
      <c r="Z22">
        <f t="shared" si="17"/>
        <v>1.1195550291334599</v>
      </c>
      <c r="AA22">
        <f t="shared" si="17"/>
        <v>1.591862309610087</v>
      </c>
      <c r="AB22">
        <f t="shared" si="17"/>
        <v>2.504372902556165</v>
      </c>
      <c r="AC22">
        <f t="shared" si="17"/>
        <v>2.168698626625662</v>
      </c>
      <c r="AD22">
        <f t="shared" ref="AD22:AQ22" si="18">B24</f>
        <v>1.757068349195561</v>
      </c>
      <c r="AE22">
        <f t="shared" si="18"/>
        <v>1.222647714517193</v>
      </c>
      <c r="AF22">
        <f t="shared" si="18"/>
        <v>1.4175010408865261</v>
      </c>
      <c r="AG22">
        <f t="shared" si="18"/>
        <v>1.5617598341709</v>
      </c>
      <c r="AH22">
        <f t="shared" si="18"/>
        <v>1.686615473244347</v>
      </c>
      <c r="AI22">
        <f t="shared" si="18"/>
        <v>0.88685637028870345</v>
      </c>
      <c r="AJ22">
        <f t="shared" si="18"/>
        <v>1.312324407444122</v>
      </c>
      <c r="AK22">
        <f t="shared" si="18"/>
        <v>2.061789023375757</v>
      </c>
      <c r="AL22">
        <f t="shared" si="18"/>
        <v>2.58299333824624</v>
      </c>
      <c r="AM22">
        <f t="shared" si="18"/>
        <v>1.4976180516765281</v>
      </c>
      <c r="AN22">
        <f t="shared" si="18"/>
        <v>2.244244050398609</v>
      </c>
      <c r="AO22">
        <f t="shared" si="18"/>
        <v>1.842175459630651</v>
      </c>
      <c r="AP22">
        <f t="shared" si="18"/>
        <v>3.2508868282021937E-2</v>
      </c>
      <c r="AQ22">
        <f t="shared" si="18"/>
        <v>1.471651625350693</v>
      </c>
      <c r="AR22">
        <f t="shared" ref="AR22:BE22" si="19">B25</f>
        <v>0.98787457377800558</v>
      </c>
      <c r="AS22">
        <f t="shared" si="19"/>
        <v>1.796051075447004</v>
      </c>
      <c r="AT22">
        <f t="shared" si="19"/>
        <v>1.1057724826769639</v>
      </c>
      <c r="AU22">
        <f t="shared" si="19"/>
        <v>1.881199156520704</v>
      </c>
      <c r="AV22">
        <f t="shared" si="19"/>
        <v>2.0778830271287112</v>
      </c>
      <c r="AW22">
        <f t="shared" si="19"/>
        <v>0.86840220188479267</v>
      </c>
      <c r="AX22">
        <f t="shared" si="19"/>
        <v>1.199951106974765</v>
      </c>
      <c r="AY22">
        <f t="shared" si="19"/>
        <v>1.766246174439591</v>
      </c>
      <c r="AZ22">
        <f t="shared" si="19"/>
        <v>0.64491971524206104</v>
      </c>
      <c r="BA22">
        <f t="shared" si="19"/>
        <v>2.8347461445985451</v>
      </c>
      <c r="BB22">
        <f t="shared" si="19"/>
        <v>0.1860670577599963</v>
      </c>
      <c r="BC22">
        <f t="shared" si="19"/>
        <v>1.5946264315066361</v>
      </c>
      <c r="BD22">
        <f t="shared" si="19"/>
        <v>1.657777216974162</v>
      </c>
      <c r="BE22">
        <f t="shared" si="19"/>
        <v>1.5919739850082779</v>
      </c>
      <c r="BF22">
        <f t="shared" ref="BF22:BS22" si="20">B26</f>
        <v>2.078108673938269</v>
      </c>
      <c r="BG22">
        <f t="shared" si="20"/>
        <v>0.85830152072990651</v>
      </c>
      <c r="BH22">
        <f t="shared" si="20"/>
        <v>0.86833539353669131</v>
      </c>
      <c r="BI22">
        <f t="shared" si="20"/>
        <v>1.85515324385444</v>
      </c>
      <c r="BJ22">
        <f t="shared" si="20"/>
        <v>1.464945288032933</v>
      </c>
      <c r="BK22">
        <f t="shared" si="20"/>
        <v>1.631487343512525</v>
      </c>
      <c r="BL22">
        <f t="shared" si="20"/>
        <v>1.7417298538583259</v>
      </c>
      <c r="BM22">
        <f t="shared" si="20"/>
        <v>1.5446519875874589</v>
      </c>
      <c r="BN22">
        <f t="shared" si="20"/>
        <v>0.16514867741462469</v>
      </c>
      <c r="BO22">
        <f t="shared" si="20"/>
        <v>2.2721021016683629</v>
      </c>
      <c r="BP22">
        <f t="shared" si="20"/>
        <v>1.905367725015122</v>
      </c>
      <c r="BQ22">
        <f t="shared" si="20"/>
        <v>1.476505914926511</v>
      </c>
      <c r="BR22">
        <f t="shared" si="20"/>
        <v>1.4871342635934901</v>
      </c>
      <c r="BS22">
        <f t="shared" si="20"/>
        <v>0.41942866460515349</v>
      </c>
      <c r="BT22">
        <f t="shared" ref="BT22:CG22" si="21">B27</f>
        <v>1.2556713037473981</v>
      </c>
      <c r="BU22">
        <f t="shared" si="21"/>
        <v>1.598755922964332</v>
      </c>
      <c r="BV22">
        <f t="shared" si="21"/>
        <v>1.214539581844946</v>
      </c>
      <c r="BW22">
        <f t="shared" si="21"/>
        <v>2.366609650210457</v>
      </c>
      <c r="BX22">
        <f t="shared" si="21"/>
        <v>1.2592072653234401</v>
      </c>
      <c r="BY22">
        <f t="shared" si="21"/>
        <v>2.1180778298482368</v>
      </c>
      <c r="BZ22">
        <f t="shared" si="21"/>
        <v>1.4782450003848211</v>
      </c>
      <c r="CA22">
        <f t="shared" si="21"/>
        <v>1.167336897343531</v>
      </c>
      <c r="CB22">
        <f t="shared" si="21"/>
        <v>2.6774346293325109</v>
      </c>
      <c r="CC22">
        <f t="shared" si="21"/>
        <v>1.159672043687993</v>
      </c>
      <c r="CD22">
        <f t="shared" si="21"/>
        <v>1.854177036543414</v>
      </c>
      <c r="CE22">
        <f t="shared" si="21"/>
        <v>1.573150037238533</v>
      </c>
      <c r="CF22">
        <f t="shared" si="21"/>
        <v>0.4180489217578392</v>
      </c>
      <c r="CG22">
        <f t="shared" si="21"/>
        <v>2.436686019749863</v>
      </c>
      <c r="CH22">
        <f t="shared" ref="CH22:CU22" si="22">B28</f>
        <v>1.6045928674474581</v>
      </c>
      <c r="CI22">
        <f t="shared" si="22"/>
        <v>1.523978220992799</v>
      </c>
      <c r="CJ22">
        <f t="shared" si="22"/>
        <v>0.91546552494654476</v>
      </c>
      <c r="CK22">
        <f t="shared" si="22"/>
        <v>1.7370222783438509</v>
      </c>
      <c r="CL22">
        <f t="shared" si="22"/>
        <v>1.523486410951802</v>
      </c>
      <c r="CM22">
        <f t="shared" si="22"/>
        <v>1.297773574116881</v>
      </c>
      <c r="CN22">
        <f t="shared" si="22"/>
        <v>1.380829220858155</v>
      </c>
      <c r="CO22">
        <f t="shared" si="22"/>
        <v>1.3364042807743519</v>
      </c>
      <c r="CP22">
        <f t="shared" si="22"/>
        <v>1.4910976994110501</v>
      </c>
      <c r="CQ22">
        <f t="shared" si="22"/>
        <v>1.728544387679642</v>
      </c>
      <c r="CR22">
        <f t="shared" si="22"/>
        <v>1.8924195165654449</v>
      </c>
      <c r="CS22">
        <f t="shared" si="22"/>
        <v>1.2490274669697721</v>
      </c>
      <c r="CT22">
        <f t="shared" si="22"/>
        <v>1.939998592116756</v>
      </c>
      <c r="CU22">
        <f t="shared" si="22"/>
        <v>1.494011239496299</v>
      </c>
      <c r="CV22">
        <f t="shared" ref="CV22:DI22" si="23">B29</f>
        <v>1.0894301900482251</v>
      </c>
      <c r="CW22">
        <f t="shared" si="23"/>
        <v>1.2265945032956329</v>
      </c>
      <c r="CX22">
        <f t="shared" si="23"/>
        <v>1.3631465543293599</v>
      </c>
      <c r="CY22">
        <f t="shared" si="23"/>
        <v>1.2331812885460249</v>
      </c>
      <c r="CZ22">
        <f t="shared" si="23"/>
        <v>1.2625311771176899</v>
      </c>
      <c r="DA22">
        <f t="shared" si="23"/>
        <v>1.4328753304122199</v>
      </c>
      <c r="DB22">
        <f t="shared" si="23"/>
        <v>1.3635022503151211</v>
      </c>
      <c r="DC22">
        <f t="shared" si="23"/>
        <v>1.40413356498296</v>
      </c>
      <c r="DD22">
        <f t="shared" si="23"/>
        <v>1.727829429909765</v>
      </c>
      <c r="DE22">
        <f t="shared" si="23"/>
        <v>1.201828723245185</v>
      </c>
      <c r="DF22">
        <f t="shared" si="23"/>
        <v>1.401051418580054</v>
      </c>
      <c r="DG22">
        <f t="shared" si="23"/>
        <v>1.7429121262666869</v>
      </c>
      <c r="DH22">
        <f t="shared" si="23"/>
        <v>1.459051074398513</v>
      </c>
      <c r="DI22">
        <f t="shared" si="23"/>
        <v>0.92246441026952575</v>
      </c>
      <c r="DJ22">
        <f t="shared" ref="DJ22:DW22" si="24">B30</f>
        <v>1.504058443750798</v>
      </c>
      <c r="DK22">
        <f t="shared" si="24"/>
        <v>1.2418223729536311</v>
      </c>
      <c r="DL22">
        <f t="shared" si="24"/>
        <v>1.622732029076885</v>
      </c>
      <c r="DM22">
        <f t="shared" si="24"/>
        <v>1.2093154751360109</v>
      </c>
      <c r="DN22">
        <f t="shared" si="24"/>
        <v>1.1821136013095801</v>
      </c>
      <c r="DO22">
        <f t="shared" si="24"/>
        <v>1.433086415475203</v>
      </c>
      <c r="DP22">
        <f t="shared" si="24"/>
        <v>1.194402427195254</v>
      </c>
      <c r="DQ22">
        <f t="shared" si="24"/>
        <v>1.4707857034604701</v>
      </c>
      <c r="DR22">
        <f t="shared" si="24"/>
        <v>2.5369940634963171</v>
      </c>
      <c r="DS22">
        <f t="shared" si="24"/>
        <v>1.4142860289060819</v>
      </c>
      <c r="DT22">
        <f t="shared" si="24"/>
        <v>1.5770233974191139</v>
      </c>
      <c r="DU22">
        <f t="shared" si="24"/>
        <v>1.6334648055433301</v>
      </c>
      <c r="DV22">
        <f t="shared" si="24"/>
        <v>1.58475816489947</v>
      </c>
      <c r="DW22">
        <f t="shared" si="24"/>
        <v>1.595145925023786</v>
      </c>
      <c r="DX22">
        <f t="shared" ref="DX22:EK22" si="25">B31</f>
        <v>1.348951683418028</v>
      </c>
      <c r="DY22">
        <f t="shared" si="25"/>
        <v>1.2671566078404151</v>
      </c>
      <c r="DZ22">
        <f t="shared" si="25"/>
        <v>1.733833006532425</v>
      </c>
      <c r="EA22">
        <f t="shared" si="25"/>
        <v>1.680120298331762</v>
      </c>
      <c r="EB22">
        <f t="shared" si="25"/>
        <v>1.6214180371910969</v>
      </c>
      <c r="EC22">
        <f t="shared" si="25"/>
        <v>1.371135481632358</v>
      </c>
      <c r="ED22">
        <f t="shared" si="25"/>
        <v>1.415931828322639</v>
      </c>
      <c r="EE22">
        <f t="shared" si="25"/>
        <v>1.383761678309692</v>
      </c>
      <c r="EF22">
        <f t="shared" si="25"/>
        <v>1.82995532776808</v>
      </c>
      <c r="EG22">
        <f t="shared" si="25"/>
        <v>1.523494408036006</v>
      </c>
      <c r="EH22">
        <f t="shared" si="25"/>
        <v>1.9700905849479591</v>
      </c>
      <c r="EI22">
        <f t="shared" si="25"/>
        <v>1.5280648181413079</v>
      </c>
      <c r="EJ22">
        <f t="shared" si="25"/>
        <v>1.644926556182094</v>
      </c>
      <c r="EK22">
        <f t="shared" si="25"/>
        <v>1.525584054295021</v>
      </c>
    </row>
    <row r="23" spans="1:141" x14ac:dyDescent="0.15">
      <c r="A23" s="1" t="s">
        <v>35</v>
      </c>
      <c r="B23">
        <v>0.15119801210543141</v>
      </c>
      <c r="C23">
        <v>0.53202391232986157</v>
      </c>
      <c r="D23">
        <v>1.405647649380267</v>
      </c>
      <c r="E23">
        <v>1.5285122845810211</v>
      </c>
      <c r="F23">
        <v>1.026622935622644</v>
      </c>
      <c r="G23">
        <v>1.1571813862403979</v>
      </c>
      <c r="H23">
        <v>1.495694672889696</v>
      </c>
      <c r="I23">
        <v>1.510502915945845</v>
      </c>
      <c r="J23">
        <v>1.3363405451368111</v>
      </c>
      <c r="K23">
        <v>1.6698751159784799</v>
      </c>
      <c r="L23">
        <v>1.1195550291334599</v>
      </c>
      <c r="M23">
        <v>1.591862309610087</v>
      </c>
      <c r="N23">
        <v>2.504372902556165</v>
      </c>
      <c r="O23">
        <v>2.168698626625662</v>
      </c>
    </row>
    <row r="24" spans="1:141" x14ac:dyDescent="0.15">
      <c r="A24" s="1" t="s">
        <v>36</v>
      </c>
      <c r="B24">
        <v>1.757068349195561</v>
      </c>
      <c r="C24">
        <v>1.222647714517193</v>
      </c>
      <c r="D24">
        <v>1.4175010408865261</v>
      </c>
      <c r="E24">
        <v>1.5617598341709</v>
      </c>
      <c r="F24">
        <v>1.686615473244347</v>
      </c>
      <c r="G24">
        <v>0.88685637028870345</v>
      </c>
      <c r="H24">
        <v>1.312324407444122</v>
      </c>
      <c r="I24">
        <v>2.061789023375757</v>
      </c>
      <c r="J24">
        <v>2.58299333824624</v>
      </c>
      <c r="K24">
        <v>1.4976180516765281</v>
      </c>
      <c r="L24">
        <v>2.244244050398609</v>
      </c>
      <c r="M24">
        <v>1.842175459630651</v>
      </c>
      <c r="N24">
        <v>3.2508868282021937E-2</v>
      </c>
      <c r="O24">
        <v>1.471651625350693</v>
      </c>
    </row>
    <row r="25" spans="1:141" x14ac:dyDescent="0.15">
      <c r="A25" s="1" t="s">
        <v>37</v>
      </c>
      <c r="B25">
        <v>0.98787457377800558</v>
      </c>
      <c r="C25">
        <v>1.796051075447004</v>
      </c>
      <c r="D25">
        <v>1.1057724826769639</v>
      </c>
      <c r="E25">
        <v>1.881199156520704</v>
      </c>
      <c r="F25">
        <v>2.0778830271287112</v>
      </c>
      <c r="G25">
        <v>0.86840220188479267</v>
      </c>
      <c r="H25">
        <v>1.199951106974765</v>
      </c>
      <c r="I25">
        <v>1.766246174439591</v>
      </c>
      <c r="J25">
        <v>0.64491971524206104</v>
      </c>
      <c r="K25">
        <v>2.8347461445985451</v>
      </c>
      <c r="L25">
        <v>0.1860670577599963</v>
      </c>
      <c r="M25">
        <v>1.5946264315066361</v>
      </c>
      <c r="N25">
        <v>1.657777216974162</v>
      </c>
      <c r="O25">
        <v>1.5919739850082779</v>
      </c>
    </row>
    <row r="26" spans="1:141" x14ac:dyDescent="0.15">
      <c r="A26" s="1" t="s">
        <v>38</v>
      </c>
      <c r="B26">
        <v>2.078108673938269</v>
      </c>
      <c r="C26">
        <v>0.85830152072990651</v>
      </c>
      <c r="D26">
        <v>0.86833539353669131</v>
      </c>
      <c r="E26">
        <v>1.85515324385444</v>
      </c>
      <c r="F26">
        <v>1.464945288032933</v>
      </c>
      <c r="G26">
        <v>1.631487343512525</v>
      </c>
      <c r="H26">
        <v>1.7417298538583259</v>
      </c>
      <c r="I26">
        <v>1.5446519875874589</v>
      </c>
      <c r="J26">
        <v>0.16514867741462469</v>
      </c>
      <c r="K26">
        <v>2.2721021016683629</v>
      </c>
      <c r="L26">
        <v>1.905367725015122</v>
      </c>
      <c r="M26">
        <v>1.476505914926511</v>
      </c>
      <c r="N26">
        <v>1.4871342635934901</v>
      </c>
      <c r="O26">
        <v>0.41942866460515349</v>
      </c>
    </row>
    <row r="27" spans="1:141" x14ac:dyDescent="0.15">
      <c r="A27" s="1" t="s">
        <v>39</v>
      </c>
      <c r="B27">
        <v>1.2556713037473981</v>
      </c>
      <c r="C27">
        <v>1.598755922964332</v>
      </c>
      <c r="D27">
        <v>1.214539581844946</v>
      </c>
      <c r="E27">
        <v>2.366609650210457</v>
      </c>
      <c r="F27">
        <v>1.2592072653234401</v>
      </c>
      <c r="G27">
        <v>2.1180778298482368</v>
      </c>
      <c r="H27">
        <v>1.4782450003848211</v>
      </c>
      <c r="I27">
        <v>1.167336897343531</v>
      </c>
      <c r="J27">
        <v>2.6774346293325109</v>
      </c>
      <c r="K27">
        <v>1.159672043687993</v>
      </c>
      <c r="L27">
        <v>1.854177036543414</v>
      </c>
      <c r="M27">
        <v>1.573150037238533</v>
      </c>
      <c r="N27">
        <v>0.4180489217578392</v>
      </c>
      <c r="O27">
        <v>2.436686019749863</v>
      </c>
    </row>
    <row r="28" spans="1:141" x14ac:dyDescent="0.15">
      <c r="A28" s="1" t="s">
        <v>40</v>
      </c>
      <c r="B28">
        <v>1.6045928674474581</v>
      </c>
      <c r="C28">
        <v>1.523978220992799</v>
      </c>
      <c r="D28">
        <v>0.91546552494654476</v>
      </c>
      <c r="E28">
        <v>1.7370222783438509</v>
      </c>
      <c r="F28">
        <v>1.523486410951802</v>
      </c>
      <c r="G28">
        <v>1.297773574116881</v>
      </c>
      <c r="H28">
        <v>1.380829220858155</v>
      </c>
      <c r="I28">
        <v>1.3364042807743519</v>
      </c>
      <c r="J28">
        <v>1.4910976994110501</v>
      </c>
      <c r="K28">
        <v>1.728544387679642</v>
      </c>
      <c r="L28">
        <v>1.8924195165654449</v>
      </c>
      <c r="M28">
        <v>1.2490274669697721</v>
      </c>
      <c r="N28">
        <v>1.939998592116756</v>
      </c>
      <c r="O28">
        <v>1.494011239496299</v>
      </c>
    </row>
    <row r="29" spans="1:141" x14ac:dyDescent="0.15">
      <c r="A29" s="1" t="s">
        <v>41</v>
      </c>
      <c r="B29">
        <v>1.0894301900482251</v>
      </c>
      <c r="C29">
        <v>1.2265945032956329</v>
      </c>
      <c r="D29">
        <v>1.3631465543293599</v>
      </c>
      <c r="E29">
        <v>1.2331812885460249</v>
      </c>
      <c r="F29">
        <v>1.2625311771176899</v>
      </c>
      <c r="G29">
        <v>1.4328753304122199</v>
      </c>
      <c r="H29">
        <v>1.3635022503151211</v>
      </c>
      <c r="I29">
        <v>1.40413356498296</v>
      </c>
      <c r="J29">
        <v>1.727829429909765</v>
      </c>
      <c r="K29">
        <v>1.201828723245185</v>
      </c>
      <c r="L29">
        <v>1.401051418580054</v>
      </c>
      <c r="M29">
        <v>1.7429121262666869</v>
      </c>
      <c r="N29">
        <v>1.459051074398513</v>
      </c>
      <c r="O29">
        <v>0.92246441026952575</v>
      </c>
    </row>
    <row r="30" spans="1:141" x14ac:dyDescent="0.15">
      <c r="A30" s="1" t="s">
        <v>42</v>
      </c>
      <c r="B30">
        <v>1.504058443750798</v>
      </c>
      <c r="C30">
        <v>1.2418223729536311</v>
      </c>
      <c r="D30">
        <v>1.622732029076885</v>
      </c>
      <c r="E30">
        <v>1.2093154751360109</v>
      </c>
      <c r="F30">
        <v>1.1821136013095801</v>
      </c>
      <c r="G30">
        <v>1.433086415475203</v>
      </c>
      <c r="H30">
        <v>1.194402427195254</v>
      </c>
      <c r="I30">
        <v>1.4707857034604701</v>
      </c>
      <c r="J30">
        <v>2.5369940634963171</v>
      </c>
      <c r="K30">
        <v>1.4142860289060819</v>
      </c>
      <c r="L30">
        <v>1.5770233974191139</v>
      </c>
      <c r="M30">
        <v>1.6334648055433301</v>
      </c>
      <c r="N30">
        <v>1.58475816489947</v>
      </c>
      <c r="O30">
        <v>1.595145925023786</v>
      </c>
      <c r="P30" t="s">
        <v>65</v>
      </c>
      <c r="T30" t="s">
        <v>66</v>
      </c>
      <c r="V30" t="s">
        <v>67</v>
      </c>
    </row>
    <row r="31" spans="1:141" x14ac:dyDescent="0.15">
      <c r="A31" s="1" t="s">
        <v>43</v>
      </c>
      <c r="B31">
        <v>1.348951683418028</v>
      </c>
      <c r="C31">
        <v>1.2671566078404151</v>
      </c>
      <c r="D31">
        <v>1.733833006532425</v>
      </c>
      <c r="E31">
        <v>1.680120298331762</v>
      </c>
      <c r="F31">
        <v>1.6214180371910969</v>
      </c>
      <c r="G31">
        <v>1.371135481632358</v>
      </c>
      <c r="H31">
        <v>1.415931828322639</v>
      </c>
      <c r="I31">
        <v>1.383761678309692</v>
      </c>
      <c r="J31">
        <v>1.82995532776808</v>
      </c>
      <c r="K31">
        <v>1.523494408036006</v>
      </c>
      <c r="L31">
        <v>1.9700905849479591</v>
      </c>
      <c r="M31">
        <v>1.5280648181413079</v>
      </c>
      <c r="N31">
        <v>1.644926556182094</v>
      </c>
      <c r="O31">
        <v>1.525584054295021</v>
      </c>
      <c r="Q31" t="s">
        <v>68</v>
      </c>
      <c r="R31" t="s">
        <v>69</v>
      </c>
      <c r="T31" t="s">
        <v>70</v>
      </c>
      <c r="U31" t="s">
        <v>71</v>
      </c>
      <c r="V31" t="s">
        <v>70</v>
      </c>
      <c r="W31" t="s">
        <v>71</v>
      </c>
    </row>
    <row r="32" spans="1:141" x14ac:dyDescent="0.15">
      <c r="Q32">
        <f>CORREL(B2:O16,B35:O49)</f>
        <v>-0.28536024536486626</v>
      </c>
      <c r="R32">
        <f>CORREL(B2:O16,B71:O85)</f>
        <v>-0.28612465874172838</v>
      </c>
      <c r="T32">
        <f>Q32*SQRT(68)/SQRT(1-Q32^2)</f>
        <v>-2.4552284530312192</v>
      </c>
      <c r="U32">
        <f>TDIST(ABS(T32),68,2)</f>
        <v>1.6641898991633257E-2</v>
      </c>
      <c r="V32">
        <f>R32*SQRT(68)/SQRT(1-R32^2)</f>
        <v>-2.4623910341191197</v>
      </c>
      <c r="W32">
        <f>TDIST(ABS(V32),68,2)</f>
        <v>1.6340445115603962E-2</v>
      </c>
    </row>
    <row r="33" spans="1:41" x14ac:dyDescent="0.15">
      <c r="A33" s="2" t="s">
        <v>44</v>
      </c>
      <c r="Q33" t="s">
        <v>72</v>
      </c>
      <c r="R33" t="s">
        <v>73</v>
      </c>
      <c r="T33" t="s">
        <v>74</v>
      </c>
      <c r="V33" t="s">
        <v>75</v>
      </c>
    </row>
    <row r="34" spans="1:41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-0.1400231330350947</v>
      </c>
      <c r="R34">
        <f>CORREL(B17:O31,B86:O100)</f>
        <v>-0.13860128920086992</v>
      </c>
      <c r="T34" t="s">
        <v>70</v>
      </c>
      <c r="U34" t="s">
        <v>71</v>
      </c>
      <c r="V34" t="s">
        <v>70</v>
      </c>
      <c r="W34" t="s">
        <v>71</v>
      </c>
    </row>
    <row r="35" spans="1:41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-1.1661489635903795</v>
      </c>
      <c r="U35">
        <f>TDIST(ABS(T35),68,2)</f>
        <v>0.24762802900946002</v>
      </c>
      <c r="V35">
        <f>R34*SQRT(68)/SQRT(1-R34^2)</f>
        <v>-1.1540743320227098</v>
      </c>
      <c r="W35">
        <f>TDIST(ABS(V35),68,2)</f>
        <v>0.25250968810463925</v>
      </c>
      <c r="Z35" t="s">
        <v>49</v>
      </c>
      <c r="AD35" t="s">
        <v>88</v>
      </c>
      <c r="AI35" t="s">
        <v>110</v>
      </c>
      <c r="AM35" t="s">
        <v>110</v>
      </c>
    </row>
    <row r="36" spans="1:41" ht="14.25" thickBot="1" x14ac:dyDescent="0.2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76</v>
      </c>
      <c r="Z36" t="s">
        <v>89</v>
      </c>
      <c r="AD36" t="s">
        <v>89</v>
      </c>
    </row>
    <row r="37" spans="1:41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77</v>
      </c>
      <c r="AI37" s="15"/>
      <c r="AJ37" s="15" t="s">
        <v>90</v>
      </c>
      <c r="AK37" s="15" t="s">
        <v>91</v>
      </c>
      <c r="AM37" s="15"/>
      <c r="AN37" s="15" t="s">
        <v>90</v>
      </c>
      <c r="AO37" s="15" t="s">
        <v>91</v>
      </c>
    </row>
    <row r="38" spans="1:41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50</v>
      </c>
      <c r="S38" t="s">
        <v>51</v>
      </c>
      <c r="T38" t="s">
        <v>52</v>
      </c>
      <c r="U38" t="s">
        <v>53</v>
      </c>
      <c r="Z38" s="15"/>
      <c r="AA38" s="15" t="s">
        <v>90</v>
      </c>
      <c r="AB38" s="15" t="s">
        <v>91</v>
      </c>
      <c r="AD38" s="15"/>
      <c r="AE38" s="15" t="s">
        <v>90</v>
      </c>
      <c r="AF38" s="15" t="s">
        <v>91</v>
      </c>
      <c r="AI38" t="s">
        <v>92</v>
      </c>
      <c r="AJ38">
        <v>0.97471206063165527</v>
      </c>
      <c r="AK38">
        <v>1.1736219244492587</v>
      </c>
      <c r="AM38" t="s">
        <v>92</v>
      </c>
      <c r="AN38">
        <v>1.1703070669774631</v>
      </c>
      <c r="AO38">
        <v>1.4690552692269967</v>
      </c>
    </row>
    <row r="39" spans="1:41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78</v>
      </c>
      <c r="R39" s="13">
        <f>CORREL(B2:O6,B35:O39)</f>
        <v>1.2121065916767258E-2</v>
      </c>
      <c r="S39" s="13">
        <f>CORREL(B7:O16,B40:O49)</f>
        <v>-0.29373858777463885</v>
      </c>
      <c r="T39" s="13">
        <f>CORREL(B2:O6,B71:O75)</f>
        <v>2.2333467667207979E-2</v>
      </c>
      <c r="U39" s="13">
        <f>CORREL(B7:O16,B76:O85)</f>
        <v>-0.28469635824816264</v>
      </c>
      <c r="Z39" t="s">
        <v>92</v>
      </c>
      <c r="AA39">
        <v>0.97471206063165527</v>
      </c>
      <c r="AB39">
        <v>1.1736219244492587</v>
      </c>
      <c r="AD39" t="s">
        <v>92</v>
      </c>
      <c r="AE39">
        <v>1.1703070669774631</v>
      </c>
      <c r="AF39">
        <v>1.4690552692269967</v>
      </c>
      <c r="AI39" t="s">
        <v>93</v>
      </c>
      <c r="AJ39">
        <v>0.15814303942997956</v>
      </c>
      <c r="AK39">
        <v>0.10202715281368553</v>
      </c>
      <c r="AM39" t="s">
        <v>93</v>
      </c>
      <c r="AN39">
        <v>0.56438626290074378</v>
      </c>
      <c r="AO39">
        <v>0.24800053525027849</v>
      </c>
    </row>
    <row r="40" spans="1:41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79</v>
      </c>
      <c r="R40" s="13">
        <f>CORREL(B17:O21,B50:O54)</f>
        <v>-0.165785215786348</v>
      </c>
      <c r="S40" s="13">
        <f>CORREL(B22:O31,B55:O64)</f>
        <v>2.7183655607083735E-2</v>
      </c>
      <c r="T40" s="13">
        <f>CORREL(B17:O21,B86:O90)</f>
        <v>-0.14512309168471596</v>
      </c>
      <c r="U40" s="13">
        <f>CORREL(B22:O31,B91:O100)</f>
        <v>-1.9372450453968033E-2</v>
      </c>
      <c r="Z40" t="s">
        <v>93</v>
      </c>
      <c r="AA40">
        <v>0.15814303942997956</v>
      </c>
      <c r="AB40">
        <v>0.10202715281368553</v>
      </c>
      <c r="AD40" t="s">
        <v>93</v>
      </c>
      <c r="AE40">
        <v>0.56438626290074378</v>
      </c>
      <c r="AF40">
        <v>0.24800053525027849</v>
      </c>
      <c r="AI40" t="s">
        <v>94</v>
      </c>
      <c r="AJ40">
        <v>70</v>
      </c>
      <c r="AK40">
        <v>140</v>
      </c>
      <c r="AM40" t="s">
        <v>94</v>
      </c>
      <c r="AN40">
        <v>70</v>
      </c>
      <c r="AO40">
        <v>140</v>
      </c>
    </row>
    <row r="41" spans="1:41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94</v>
      </c>
      <c r="AA41">
        <v>70</v>
      </c>
      <c r="AB41">
        <v>140</v>
      </c>
      <c r="AD41" t="s">
        <v>94</v>
      </c>
      <c r="AE41">
        <v>70</v>
      </c>
      <c r="AF41">
        <v>140</v>
      </c>
      <c r="AI41" t="s">
        <v>96</v>
      </c>
      <c r="AJ41">
        <v>0</v>
      </c>
      <c r="AM41" t="s">
        <v>96</v>
      </c>
      <c r="AN41">
        <v>0</v>
      </c>
    </row>
    <row r="42" spans="1:41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80</v>
      </c>
      <c r="S42" t="s">
        <v>81</v>
      </c>
      <c r="U42" t="s">
        <v>82</v>
      </c>
      <c r="W42" t="s">
        <v>83</v>
      </c>
      <c r="Z42" t="s">
        <v>95</v>
      </c>
      <c r="AA42">
        <v>0.12064251904697539</v>
      </c>
      <c r="AD42" t="s">
        <v>95</v>
      </c>
      <c r="AE42">
        <v>0.35295541605740399</v>
      </c>
      <c r="AI42" t="s">
        <v>97</v>
      </c>
      <c r="AJ42">
        <v>115</v>
      </c>
      <c r="AM42" t="s">
        <v>97</v>
      </c>
      <c r="AN42">
        <v>100</v>
      </c>
    </row>
    <row r="43" spans="1:41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70</v>
      </c>
      <c r="R43" t="s">
        <v>71</v>
      </c>
      <c r="S43" t="s">
        <v>70</v>
      </c>
      <c r="T43" t="s">
        <v>71</v>
      </c>
      <c r="U43" t="s">
        <v>70</v>
      </c>
      <c r="V43" t="s">
        <v>71</v>
      </c>
      <c r="W43" t="s">
        <v>70</v>
      </c>
      <c r="X43" t="s">
        <v>71</v>
      </c>
      <c r="Z43" t="s">
        <v>96</v>
      </c>
      <c r="AA43">
        <v>0</v>
      </c>
      <c r="AD43" t="s">
        <v>96</v>
      </c>
      <c r="AE43">
        <v>0</v>
      </c>
      <c r="AI43" t="s">
        <v>98</v>
      </c>
      <c r="AJ43">
        <v>-3.6388951061485124</v>
      </c>
      <c r="AM43" t="s">
        <v>98</v>
      </c>
      <c r="AN43">
        <v>-3.0125768783867306</v>
      </c>
    </row>
    <row r="44" spans="1:41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9.9960213498769851E-2</v>
      </c>
      <c r="R44">
        <f>TDIST(ABS(Q44),68,2)</f>
        <v>0.92067003419854032</v>
      </c>
      <c r="S44">
        <f>S39*SQRT(138)/SQRT(1-S39^2)</f>
        <v>-3.609894756411677</v>
      </c>
      <c r="T44">
        <f>TDIST(ABS(S44),138,2)</f>
        <v>4.2760096406955583E-4</v>
      </c>
      <c r="U44">
        <f>T39*SQRT(68)/SQRT(1-T39^2)</f>
        <v>0.18421243917471419</v>
      </c>
      <c r="V44">
        <f>TDIST(ABS(U44),68,2)</f>
        <v>0.85439505494365875</v>
      </c>
      <c r="W44">
        <f>U39*SQRT(138)/SQRT(1-U39^2)</f>
        <v>-3.4887993314376247</v>
      </c>
      <c r="X44">
        <f>TDIST(ABS(W44),138,2)</f>
        <v>6.5152932259141677E-4</v>
      </c>
      <c r="Z44" t="s">
        <v>97</v>
      </c>
      <c r="AA44">
        <v>208</v>
      </c>
      <c r="AD44" t="s">
        <v>97</v>
      </c>
      <c r="AE44">
        <v>208</v>
      </c>
      <c r="AI44" t="s">
        <v>99</v>
      </c>
      <c r="AJ44">
        <v>2.0575116903398359E-4</v>
      </c>
      <c r="AM44" t="s">
        <v>99</v>
      </c>
      <c r="AN44">
        <v>1.640602710097018E-3</v>
      </c>
    </row>
    <row r="45" spans="1:41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84</v>
      </c>
      <c r="S45" t="s">
        <v>85</v>
      </c>
      <c r="U45" t="s">
        <v>86</v>
      </c>
      <c r="W45" t="s">
        <v>87</v>
      </c>
      <c r="Z45" t="s">
        <v>98</v>
      </c>
      <c r="AA45">
        <v>-3.9120960776009848</v>
      </c>
      <c r="AD45" t="s">
        <v>98</v>
      </c>
      <c r="AE45">
        <v>-3.4351742037095612</v>
      </c>
      <c r="AI45" t="s">
        <v>100</v>
      </c>
      <c r="AJ45">
        <v>1.658211830031149</v>
      </c>
      <c r="AM45" t="s">
        <v>100</v>
      </c>
      <c r="AN45">
        <v>1.6602343260853425</v>
      </c>
    </row>
    <row r="46" spans="1:41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70</v>
      </c>
      <c r="R46" t="s">
        <v>71</v>
      </c>
      <c r="S46" t="s">
        <v>70</v>
      </c>
      <c r="T46" t="s">
        <v>71</v>
      </c>
      <c r="U46" t="s">
        <v>70</v>
      </c>
      <c r="V46" t="s">
        <v>71</v>
      </c>
      <c r="W46" t="s">
        <v>70</v>
      </c>
      <c r="X46" t="s">
        <v>71</v>
      </c>
      <c r="Z46" t="s">
        <v>99</v>
      </c>
      <c r="AA46">
        <v>6.1949956688989801E-5</v>
      </c>
      <c r="AD46" t="s">
        <v>99</v>
      </c>
      <c r="AE46">
        <v>3.5739296423265325E-4</v>
      </c>
      <c r="AI46" t="s">
        <v>101</v>
      </c>
      <c r="AJ46">
        <v>4.1150233806796718E-4</v>
      </c>
      <c r="AM46" t="s">
        <v>101</v>
      </c>
      <c r="AN46">
        <v>3.281205420194036E-3</v>
      </c>
    </row>
    <row r="47" spans="1:41" ht="14.25" thickBot="1" x14ac:dyDescent="0.2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-1.3862834625263942</v>
      </c>
      <c r="R47">
        <f>TDIST(ABS(Q47),68,2)</f>
        <v>0.17018920711179913</v>
      </c>
      <c r="S47">
        <f>S40*SQRT(138)/SQRT(1-S40^2)</f>
        <v>0.31945370039240084</v>
      </c>
      <c r="T47">
        <f>TDIST(ABS(S47),138,2)</f>
        <v>0.7498655773459344</v>
      </c>
      <c r="U47">
        <f>T40*SQRT(68)/SQRT(1-T40^2)</f>
        <v>-1.2095201252979404</v>
      </c>
      <c r="V47">
        <f>TDIST(ABS(U47),68,2)</f>
        <v>0.23065141049702398</v>
      </c>
      <c r="W47">
        <f>U40*SQRT(138)/SQRT(1-U40^2)</f>
        <v>-0.22761748002635021</v>
      </c>
      <c r="X47">
        <f>TDIST(ABS(W47),138,2)</f>
        <v>0.8202805141997076</v>
      </c>
      <c r="Z47" t="s">
        <v>100</v>
      </c>
      <c r="AA47">
        <v>1.6522123760661407</v>
      </c>
      <c r="AD47" t="s">
        <v>100</v>
      </c>
      <c r="AE47">
        <v>1.6522123760661407</v>
      </c>
      <c r="AI47" s="14" t="s">
        <v>102</v>
      </c>
      <c r="AJ47" s="14">
        <v>1.9808075411039101</v>
      </c>
      <c r="AK47" s="14"/>
      <c r="AM47" s="14" t="s">
        <v>102</v>
      </c>
      <c r="AN47" s="14">
        <v>1.9839715185235556</v>
      </c>
      <c r="AO47" s="14"/>
    </row>
    <row r="48" spans="1:41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101</v>
      </c>
      <c r="AA48">
        <v>1.238999133779796E-4</v>
      </c>
      <c r="AD48" t="s">
        <v>101</v>
      </c>
      <c r="AE48">
        <v>7.1478592846530649E-4</v>
      </c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4" t="s">
        <v>102</v>
      </c>
      <c r="AA49" s="14">
        <v>1.9714346585202402</v>
      </c>
      <c r="AB49" s="14"/>
      <c r="AD49" s="14" t="s">
        <v>102</v>
      </c>
      <c r="AE49" s="14">
        <v>1.9714346585202402</v>
      </c>
      <c r="AF49" s="14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46</v>
      </c>
      <c r="B65">
        <f t="shared" ref="B65:O65" si="26">CORREL(B2:B16,B35:B49)</f>
        <v>-0.36569939239725402</v>
      </c>
      <c r="C65">
        <f t="shared" si="26"/>
        <v>-0.36369985077551548</v>
      </c>
      <c r="D65">
        <f t="shared" si="26"/>
        <v>-0.37312382986820158</v>
      </c>
      <c r="E65">
        <f t="shared" si="26"/>
        <v>0.15550374394828548</v>
      </c>
      <c r="F65">
        <f t="shared" si="26"/>
        <v>-0.75396792282052438</v>
      </c>
      <c r="G65">
        <f t="shared" si="26"/>
        <v>0.39313072141734834</v>
      </c>
      <c r="H65">
        <f t="shared" si="26"/>
        <v>-0.74619475490476772</v>
      </c>
      <c r="I65">
        <f t="shared" si="26"/>
        <v>0.12542293836655538</v>
      </c>
      <c r="J65">
        <f t="shared" si="26"/>
        <v>8.0814200722591489E-2</v>
      </c>
      <c r="K65">
        <f t="shared" si="26"/>
        <v>-0.18512145426727891</v>
      </c>
      <c r="L65">
        <f t="shared" si="26"/>
        <v>-0.64882782548612539</v>
      </c>
      <c r="M65">
        <f t="shared" si="26"/>
        <v>-0.80279180955267326</v>
      </c>
      <c r="N65">
        <f t="shared" si="26"/>
        <v>-0.27654632976270371</v>
      </c>
      <c r="O65">
        <f t="shared" si="26"/>
        <v>-9.8757636401097665E-2</v>
      </c>
    </row>
    <row r="66" spans="1:15" x14ac:dyDescent="0.15">
      <c r="A66" s="2" t="s">
        <v>47</v>
      </c>
      <c r="B66">
        <f t="shared" ref="B66:O66" si="27">CORREL(B17:B31,B50:B64)</f>
        <v>-0.15935814137129922</v>
      </c>
      <c r="C66">
        <f t="shared" si="27"/>
        <v>-0.45337883898217601</v>
      </c>
      <c r="D66">
        <f t="shared" si="27"/>
        <v>-0.45795114434921391</v>
      </c>
      <c r="E66">
        <f t="shared" si="27"/>
        <v>0.18511883507008775</v>
      </c>
      <c r="F66">
        <f t="shared" si="27"/>
        <v>-0.48349513339203831</v>
      </c>
      <c r="G66">
        <f t="shared" si="27"/>
        <v>0.21930598935573523</v>
      </c>
      <c r="H66">
        <f t="shared" si="27"/>
        <v>-0.26185088958633146</v>
      </c>
      <c r="I66">
        <f t="shared" si="27"/>
        <v>-4.4346050906446784E-2</v>
      </c>
      <c r="J66">
        <f t="shared" si="27"/>
        <v>0.35518860679322178</v>
      </c>
      <c r="K66">
        <f t="shared" si="27"/>
        <v>-0.45507166919787201</v>
      </c>
      <c r="L66">
        <f t="shared" si="27"/>
        <v>-0.27584694407979293</v>
      </c>
      <c r="M66">
        <f t="shared" si="27"/>
        <v>3.2860989179028501E-2</v>
      </c>
      <c r="N66">
        <f t="shared" si="27"/>
        <v>-0.32332189586577587</v>
      </c>
      <c r="O66">
        <f t="shared" si="27"/>
        <v>-6.047320199966888E-2</v>
      </c>
    </row>
    <row r="67" spans="1:15" x14ac:dyDescent="0.15">
      <c r="A67" s="2"/>
    </row>
    <row r="68" spans="1:15" x14ac:dyDescent="0.15">
      <c r="A68" s="2"/>
    </row>
    <row r="69" spans="1:15" x14ac:dyDescent="0.15">
      <c r="A69" s="2" t="s">
        <v>45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8">CORREL(B2:B16,B71:B85)</f>
        <v>-0.24880810150702487</v>
      </c>
      <c r="C101">
        <f t="shared" si="28"/>
        <v>-0.39058106975579648</v>
      </c>
      <c r="D101">
        <f t="shared" si="28"/>
        <v>-0.32343344578263894</v>
      </c>
      <c r="E101">
        <f t="shared" si="28"/>
        <v>8.9170685372346181E-2</v>
      </c>
      <c r="F101">
        <f t="shared" si="28"/>
        <v>-0.52072777408294446</v>
      </c>
      <c r="G101">
        <f t="shared" si="28"/>
        <v>0.15924420677153284</v>
      </c>
      <c r="H101">
        <f t="shared" si="28"/>
        <v>-0.80294044080205618</v>
      </c>
      <c r="I101">
        <f t="shared" si="28"/>
        <v>2.6688785891195283E-3</v>
      </c>
      <c r="J101">
        <f t="shared" si="28"/>
        <v>-0.51089762246556969</v>
      </c>
      <c r="K101">
        <f t="shared" si="28"/>
        <v>-0.20224475825321153</v>
      </c>
      <c r="L101">
        <f t="shared" si="28"/>
        <v>-0.43136935894542838</v>
      </c>
      <c r="M101">
        <f t="shared" si="28"/>
        <v>-0.81726373315256207</v>
      </c>
      <c r="N101">
        <f t="shared" si="28"/>
        <v>-8.6726213775559183E-2</v>
      </c>
      <c r="O101">
        <f t="shared" si="28"/>
        <v>-7.8369439657088053E-3</v>
      </c>
    </row>
    <row r="102" spans="1:15" x14ac:dyDescent="0.15">
      <c r="A102" s="4" t="s">
        <v>47</v>
      </c>
      <c r="B102">
        <f t="shared" ref="B102:O102" si="29">CORREL(B50:B64,B86:B100)</f>
        <v>0.49076285018167559</v>
      </c>
      <c r="C102">
        <f t="shared" si="29"/>
        <v>0.93039497166541207</v>
      </c>
      <c r="D102">
        <f t="shared" si="29"/>
        <v>0.21283800174212827</v>
      </c>
      <c r="E102">
        <f t="shared" si="29"/>
        <v>0.60779881578965012</v>
      </c>
      <c r="F102">
        <f t="shared" si="29"/>
        <v>0.85403809305722755</v>
      </c>
      <c r="G102">
        <f t="shared" si="29"/>
        <v>0.81314037270029305</v>
      </c>
      <c r="H102">
        <f t="shared" si="29"/>
        <v>0.8835086722015526</v>
      </c>
      <c r="I102">
        <f t="shared" si="29"/>
        <v>0.70528727206928143</v>
      </c>
      <c r="J102">
        <f t="shared" si="29"/>
        <v>0.22876147129340274</v>
      </c>
      <c r="K102">
        <f t="shared" si="29"/>
        <v>0.66719860802097231</v>
      </c>
      <c r="L102">
        <f t="shared" si="29"/>
        <v>0.83676119973999574</v>
      </c>
      <c r="M102">
        <f t="shared" si="29"/>
        <v>0.70241057693068665</v>
      </c>
      <c r="N102">
        <f t="shared" si="29"/>
        <v>0.81954603988674635</v>
      </c>
      <c r="O102">
        <f t="shared" si="29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2023-02-01T01:20:40Z</dcterms:created>
  <dcterms:modified xsi:type="dcterms:W3CDTF">2023-02-12T10:34:27Z</dcterms:modified>
</cp:coreProperties>
</file>