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172" documentId="13_ncr:1_{1F768CA4-7AB5-4F90-8482-EF6929A9D347}" xr6:coauthVersionLast="47" xr6:coauthVersionMax="47" xr10:uidLastSave="{7013BD05-2CAC-4CD0-9DD7-4E08CA957D32}"/>
  <bookViews>
    <workbookView xWindow="4065" yWindow="2280" windowWidth="19740" windowHeight="11220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9" i="2" l="1"/>
  <c r="U44" i="2" s="1"/>
  <c r="S39" i="2"/>
  <c r="S44" i="2" s="1"/>
  <c r="T44" i="2" s="1"/>
  <c r="R40" i="2"/>
  <c r="Q47" i="2" s="1"/>
  <c r="AB34" i="1"/>
  <c r="AA34" i="1"/>
  <c r="Z34" i="1"/>
  <c r="Y34" i="1"/>
  <c r="AB33" i="1"/>
  <c r="AA33" i="1"/>
  <c r="Z33" i="1"/>
  <c r="Y33" i="1"/>
  <c r="AB32" i="1"/>
  <c r="AA32" i="1"/>
  <c r="Z32" i="1"/>
  <c r="Y32" i="1"/>
  <c r="AB31" i="1"/>
  <c r="AA31" i="1"/>
  <c r="Z31" i="1"/>
  <c r="Y31" i="1"/>
  <c r="AB30" i="1"/>
  <c r="AA30" i="1"/>
  <c r="Z30" i="1"/>
  <c r="AB24" i="1"/>
  <c r="AA24" i="1"/>
  <c r="Z24" i="1"/>
  <c r="Y24" i="1"/>
  <c r="AB23" i="1"/>
  <c r="AA23" i="1"/>
  <c r="Z23" i="1"/>
  <c r="Y23" i="1"/>
  <c r="AB22" i="1"/>
  <c r="AA22" i="1"/>
  <c r="Z22" i="1"/>
  <c r="Y22" i="1"/>
  <c r="AB21" i="1"/>
  <c r="Z21" i="1"/>
  <c r="Y21" i="1"/>
  <c r="W44" i="2"/>
  <c r="X44" i="2"/>
  <c r="W47" i="2"/>
  <c r="U47" i="2"/>
  <c r="V47" i="2" s="1"/>
  <c r="S47" i="2"/>
  <c r="Q44" i="2"/>
  <c r="R44" i="2"/>
  <c r="U39" i="2"/>
  <c r="U40" i="2"/>
  <c r="X47" i="2" s="1"/>
  <c r="T40" i="2"/>
  <c r="S40" i="2"/>
  <c r="R39" i="2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Q82" i="2"/>
  <c r="Q79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V34" i="1"/>
  <c r="V33" i="1"/>
  <c r="V32" i="1"/>
  <c r="V31" i="1"/>
  <c r="V30" i="1"/>
  <c r="U34" i="1"/>
  <c r="U33" i="1"/>
  <c r="U32" i="1"/>
  <c r="U31" i="1"/>
  <c r="U30" i="1"/>
  <c r="V24" i="1"/>
  <c r="V23" i="1"/>
  <c r="V22" i="1"/>
  <c r="V21" i="1"/>
  <c r="U24" i="1"/>
  <c r="U23" i="1"/>
  <c r="U22" i="1"/>
  <c r="S34" i="1"/>
  <c r="S31" i="1"/>
  <c r="T34" i="1"/>
  <c r="T33" i="1"/>
  <c r="T32" i="1"/>
  <c r="T31" i="1"/>
  <c r="T30" i="1"/>
  <c r="S33" i="1"/>
  <c r="S32" i="1"/>
  <c r="T24" i="1"/>
  <c r="S24" i="1"/>
  <c r="S23" i="1"/>
  <c r="S22" i="1"/>
  <c r="S21" i="1"/>
  <c r="T21" i="1"/>
  <c r="T22" i="1"/>
  <c r="T23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R5" i="1"/>
  <c r="R4" i="1"/>
  <c r="R3" i="1"/>
  <c r="R2" i="1"/>
  <c r="Q47" i="1"/>
  <c r="Q44" i="1"/>
  <c r="Q82" i="1"/>
  <c r="Q79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B102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B101" i="1"/>
  <c r="V44" i="2" l="1"/>
  <c r="R47" i="2"/>
  <c r="T47" i="2"/>
</calcChain>
</file>

<file path=xl/sharedStrings.xml><?xml version="1.0" encoding="utf-8"?>
<sst xmlns="http://schemas.openxmlformats.org/spreadsheetml/2006/main" count="447" uniqueCount="118">
  <si>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</si>
  <si>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</si>
  <si>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</si>
  <si>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</si>
  <si>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</si>
  <si>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</si>
  <si>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</si>
  <si>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</si>
  <si>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</si>
  <si>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</si>
  <si>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</si>
  <si>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</si>
  <si>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</si>
  <si>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</si>
  <si>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</si>
  <si>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</si>
  <si>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</si>
  <si>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</si>
  <si>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</si>
  <si>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</si>
  <si>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</si>
  <si>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</si>
  <si>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</si>
  <si>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</si>
  <si>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</si>
  <si>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</si>
  <si>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</si>
  <si>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</si>
  <si>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</si>
  <si>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</si>
  <si>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</si>
  <si>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</si>
  <si>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</si>
  <si>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</si>
  <si>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</si>
  <si>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</si>
  <si>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</si>
  <si>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</si>
  <si>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</si>
  <si>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</si>
  <si>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</si>
  <si>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</si>
  <si>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</si>
  <si>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</si>
  <si>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</si>
  <si>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post</t>
    <phoneticPr fontId="2"/>
  </si>
  <si>
    <t>p_correl</t>
    <phoneticPr fontId="2"/>
  </si>
  <si>
    <t>i_correl</t>
    <phoneticPr fontId="2"/>
  </si>
  <si>
    <t>n_p</t>
    <phoneticPr fontId="2"/>
  </si>
  <si>
    <t>r_p</t>
    <phoneticPr fontId="2"/>
  </si>
  <si>
    <t>n_i</t>
    <phoneticPr fontId="2"/>
  </si>
  <si>
    <t>r_i</t>
    <phoneticPr fontId="2"/>
  </si>
  <si>
    <t>パズル</t>
    <phoneticPr fontId="2"/>
  </si>
  <si>
    <t>イライラ</t>
    <phoneticPr fontId="2"/>
  </si>
  <si>
    <t>赤</t>
    <rPh sb="0" eb="1">
      <t>アカ</t>
    </rPh>
    <phoneticPr fontId="2"/>
  </si>
  <si>
    <t>オレンジ</t>
    <phoneticPr fontId="2"/>
  </si>
  <si>
    <t>青</t>
    <rPh sb="0" eb="1">
      <t>アオ</t>
    </rPh>
    <phoneticPr fontId="2"/>
  </si>
  <si>
    <t>緑</t>
    <rPh sb="0" eb="1">
      <t>ミドリ</t>
    </rPh>
    <phoneticPr fontId="2"/>
  </si>
  <si>
    <t>紫</t>
    <rPh sb="0" eb="1">
      <t>ムラサキ</t>
    </rPh>
    <phoneticPr fontId="2"/>
  </si>
  <si>
    <t>事前</t>
    <rPh sb="0" eb="2">
      <t>ジゼン</t>
    </rPh>
    <phoneticPr fontId="2"/>
  </si>
  <si>
    <t>回転：事前</t>
    <rPh sb="0" eb="2">
      <t>カイテン</t>
    </rPh>
    <rPh sb="3" eb="5">
      <t>ジゼン</t>
    </rPh>
    <phoneticPr fontId="2"/>
  </si>
  <si>
    <t>回転：事後</t>
    <rPh sb="0" eb="2">
      <t>カイテン</t>
    </rPh>
    <rPh sb="3" eb="5">
      <t>ジゴ</t>
    </rPh>
    <phoneticPr fontId="2"/>
  </si>
  <si>
    <t>自己効力感</t>
    <rPh sb="0" eb="5">
      <t>ジココウリョクカン</t>
    </rPh>
    <phoneticPr fontId="2"/>
  </si>
  <si>
    <t>通常：事前</t>
    <rPh sb="0" eb="2">
      <t>ツウジョウ</t>
    </rPh>
    <rPh sb="3" eb="5">
      <t>ジゼン</t>
    </rPh>
    <phoneticPr fontId="2"/>
  </si>
  <si>
    <t>通常：事前</t>
    <rPh sb="3" eb="5">
      <t>ジゼン</t>
    </rPh>
    <phoneticPr fontId="2"/>
  </si>
  <si>
    <t>通常：事後</t>
    <rPh sb="3" eb="5">
      <t>ジゴ</t>
    </rPh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</si>
  <si>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</si>
  <si>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</si>
  <si>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</si>
  <si>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</si>
  <si>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</si>
  <si>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</si>
  <si>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</si>
  <si>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</si>
  <si>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</si>
  <si>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</si>
  <si>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</si>
  <si>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</si>
  <si>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</si>
  <si>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普通：事前</t>
    <rPh sb="0" eb="2">
      <t>フツウ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</si>
  <si>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</si>
  <si>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</si>
  <si>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</si>
  <si>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</si>
  <si>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</si>
  <si>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</si>
  <si>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</si>
  <si>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</si>
  <si>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</si>
  <si>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</si>
  <si>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</si>
  <si>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</si>
  <si>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</si>
  <si>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</si>
  <si>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</si>
  <si>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</si>
  <si>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</si>
  <si>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</si>
  <si>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</si>
  <si>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</si>
  <si>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</si>
  <si>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</si>
  <si>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</si>
  <si>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</si>
  <si>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</si>
  <si>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</si>
  <si>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</si>
  <si>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</si>
  <si>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</si>
  <si>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</si>
  <si>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</si>
  <si>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通常：事後</t>
    <rPh sb="0" eb="2">
      <t>ツウジョウ</t>
    </rPh>
    <rPh sb="3" eb="5">
      <t>ジゴ</t>
    </rPh>
    <phoneticPr fontId="2"/>
  </si>
  <si>
    <t>t-検定: 分散が等しくないと仮定した２標本による検定</t>
  </si>
  <si>
    <t>SSE:レベル1</t>
    <phoneticPr fontId="2"/>
  </si>
  <si>
    <t>SSE:レベル2</t>
    <phoneticPr fontId="2"/>
  </si>
  <si>
    <t>SSE:レベル3</t>
    <phoneticPr fontId="2"/>
  </si>
  <si>
    <t>SSE:レベル4</t>
    <phoneticPr fontId="2"/>
  </si>
  <si>
    <t>SSE:レベル5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</si>
</sst>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SSE:レベル1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B536-4FBA-AA8C-D342AD986992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SSE:レベル2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0.45824344295019581</c:v>
                  </c:pt>
                  <c:pt idx="3">
                    <c:v>0.77599731179374032</c:v>
                  </c:pt>
                </c:numCache>
              </c:numRef>
            </c:plus>
            <c:minus>
              <c:numRef>
                <c:f>Sheet1!$Y$21:$AB$21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0.45824344295019581</c:v>
                  </c:pt>
                  <c:pt idx="3">
                    <c:v>0.77599731179374032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1.9392204376715869</c:v>
                </c:pt>
                <c:pt idx="1">
                  <c:v>2.4199720106227907</c:v>
                </c:pt>
                <c:pt idx="3">
                  <c:v>2.1758537654216585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6-4FBA-AA8C-D342AD986992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SSE:レベル3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Sheet1!$Y$22:$AB$22</c:f>
                <c:numCache>
                  <c:formatCode>General</c:formatCode>
                  <c:ptCount val="4"/>
                  <c:pt idx="0">
                    <c:v>0.1858112269486292</c:v>
                  </c:pt>
                  <c:pt idx="1">
                    <c:v>0.54364794874386313</c:v>
                  </c:pt>
                  <c:pt idx="2">
                    <c:v>3.6362284921777066E-2</c:v>
                  </c:pt>
                  <c:pt idx="3">
                    <c:v>0.49819910877099127</c:v>
                  </c:pt>
                </c:numCache>
              </c:numRef>
            </c:plus>
            <c:minus>
              <c:numRef>
                <c:f>Sheet1!$Y$22:$AB$22</c:f>
                <c:numCache>
                  <c:formatCode>General</c:formatCode>
                  <c:ptCount val="4"/>
                  <c:pt idx="0">
                    <c:v>0.1858112269486292</c:v>
                  </c:pt>
                  <c:pt idx="1">
                    <c:v>0.54364794874386313</c:v>
                  </c:pt>
                  <c:pt idx="2">
                    <c:v>3.6362284921777066E-2</c:v>
                  </c:pt>
                  <c:pt idx="3">
                    <c:v>0.49819910877099127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2.2693900891788008</c:v>
                </c:pt>
                <c:pt idx="1">
                  <c:v>1.9479730224375864</c:v>
                </c:pt>
                <c:pt idx="2">
                  <c:v>2.2727000396086767</c:v>
                </c:pt>
                <c:pt idx="3">
                  <c:v>1.9558482425843231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6-4FBA-AA8C-D342AD986992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SSE:レベル4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Sheet1!$Y$23:$AB$23</c:f>
                <c:numCache>
                  <c:formatCode>General</c:formatCode>
                  <c:ptCount val="4"/>
                  <c:pt idx="0">
                    <c:v>0.33608798801586431</c:v>
                  </c:pt>
                  <c:pt idx="1">
                    <c:v>0.2745621747634775</c:v>
                  </c:pt>
                  <c:pt idx="2">
                    <c:v>0.33056279605024108</c:v>
                  </c:pt>
                  <c:pt idx="3">
                    <c:v>0.46596011559336814</c:v>
                  </c:pt>
                </c:numCache>
              </c:numRef>
            </c:plus>
            <c:minus>
              <c:numRef>
                <c:f>Sheet1!$Y$23:$AB$23</c:f>
                <c:numCache>
                  <c:formatCode>General</c:formatCode>
                  <c:ptCount val="4"/>
                  <c:pt idx="0">
                    <c:v>0.33608798801586431</c:v>
                  </c:pt>
                  <c:pt idx="1">
                    <c:v>0.2745621747634775</c:v>
                  </c:pt>
                  <c:pt idx="2">
                    <c:v>0.33056279605024108</c:v>
                  </c:pt>
                  <c:pt idx="3">
                    <c:v>0.46596011559336814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2.6435879872960677</c:v>
                </c:pt>
                <c:pt idx="1">
                  <c:v>2.1435231760103521</c:v>
                </c:pt>
                <c:pt idx="2">
                  <c:v>2.441014464951611</c:v>
                </c:pt>
                <c:pt idx="3">
                  <c:v>2.1395478130121819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6-4FBA-AA8C-D342AD986992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SSE:レベル5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Sheet1!$Y$24:$AB$24</c:f>
                <c:numCache>
                  <c:formatCode>General</c:formatCode>
                  <c:ptCount val="4"/>
                  <c:pt idx="0">
                    <c:v>0.25062712753482053</c:v>
                  </c:pt>
                  <c:pt idx="1">
                    <c:v>0.46408365414588054</c:v>
                  </c:pt>
                  <c:pt idx="2">
                    <c:v>0.43790290552242056</c:v>
                  </c:pt>
                  <c:pt idx="3">
                    <c:v>0.41944483848268399</c:v>
                  </c:pt>
                </c:numCache>
              </c:numRef>
            </c:plus>
            <c:minus>
              <c:numRef>
                <c:f>Sheet1!$Y$24:$AB$24</c:f>
                <c:numCache>
                  <c:formatCode>General</c:formatCode>
                  <c:ptCount val="4"/>
                  <c:pt idx="0">
                    <c:v>0.25062712753482053</c:v>
                  </c:pt>
                  <c:pt idx="1">
                    <c:v>0.46408365414588054</c:v>
                  </c:pt>
                  <c:pt idx="2">
                    <c:v>0.43790290552242056</c:v>
                  </c:pt>
                  <c:pt idx="3">
                    <c:v>0.41944483848268399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2.5929252578868187</c:v>
                </c:pt>
                <c:pt idx="1">
                  <c:v>1.8089811179076625</c:v>
                </c:pt>
                <c:pt idx="2">
                  <c:v>2.5160279763828259</c:v>
                </c:pt>
                <c:pt idx="3">
                  <c:v>1.9709131109318383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36-4FBA-AA8C-D342AD986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476720"/>
        <c:axId val="644477048"/>
      </c:barChart>
      <c:catAx>
        <c:axId val="64447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4477048"/>
        <c:crosses val="autoZero"/>
        <c:auto val="1"/>
        <c:lblAlgn val="ctr"/>
        <c:lblOffset val="100"/>
        <c:noMultiLvlLbl val="0"/>
      </c:catAx>
      <c:valAx>
        <c:axId val="64447704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サッカード回数</a:t>
                </a:r>
              </a:p>
            </c:rich>
          </c:tx>
          <c:layout>
            <c:manualLayout>
              <c:xMode val="edge"/>
              <c:yMode val="edge"/>
              <c:x val="2.3518518518518518E-2"/>
              <c:y val="0.16621281714785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447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SSE:レベル1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Sheet1!$Y$30:$AB$30</c:f>
                <c:numCache>
                  <c:formatCode>General</c:formatCode>
                  <c:ptCount val="4"/>
                  <c:pt idx="1">
                    <c:v>0.7168102235317706</c:v>
                  </c:pt>
                  <c:pt idx="2">
                    <c:v>0</c:v>
                  </c:pt>
                  <c:pt idx="3">
                    <c:v>0.99983379170141129</c:v>
                  </c:pt>
                </c:numCache>
              </c:numRef>
            </c:plus>
            <c:minus>
              <c:numRef>
                <c:f>Sheet1!$Y$30:$AB$30</c:f>
                <c:numCache>
                  <c:formatCode>General</c:formatCode>
                  <c:ptCount val="4"/>
                  <c:pt idx="1">
                    <c:v>0.7168102235317706</c:v>
                  </c:pt>
                  <c:pt idx="2">
                    <c:v>0</c:v>
                  </c:pt>
                  <c:pt idx="3">
                    <c:v>0.99983379170141129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1.336091205809592</c:v>
                </c:pt>
                <c:pt idx="2">
                  <c:v>1.216366741004469</c:v>
                </c:pt>
                <c:pt idx="3">
                  <c:v>1.0046043721867559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A-4EA4-8F17-9BFCCBC8819E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SSE:レベル2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Sheet1!$Y$31:$AB$31</c:f>
                <c:numCache>
                  <c:formatCode>General</c:formatCode>
                  <c:ptCount val="4"/>
                  <c:pt idx="0">
                    <c:v>0.56227314289781716</c:v>
                  </c:pt>
                  <c:pt idx="1">
                    <c:v>0.48593397418473422</c:v>
                  </c:pt>
                  <c:pt idx="2">
                    <c:v>0.48075017876823506</c:v>
                  </c:pt>
                  <c:pt idx="3">
                    <c:v>0.45528855776468752</c:v>
                  </c:pt>
                </c:numCache>
              </c:numRef>
            </c:plus>
            <c:minus>
              <c:numRef>
                <c:f>Sheet1!$Y$31:$AB$31</c:f>
                <c:numCache>
                  <c:formatCode>General</c:formatCode>
                  <c:ptCount val="4"/>
                  <c:pt idx="0">
                    <c:v>0.56227314289781716</c:v>
                  </c:pt>
                  <c:pt idx="1">
                    <c:v>0.48593397418473422</c:v>
                  </c:pt>
                  <c:pt idx="2">
                    <c:v>0.48075017876823506</c:v>
                  </c:pt>
                  <c:pt idx="3">
                    <c:v>0.45528855776468752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1.5050895724635127</c:v>
                </c:pt>
                <c:pt idx="1">
                  <c:v>1.2732191730806159</c:v>
                </c:pt>
                <c:pt idx="2">
                  <c:v>0.85496873883169489</c:v>
                </c:pt>
                <c:pt idx="3">
                  <c:v>1.1508753046418974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A-4EA4-8F17-9BFCCBC8819E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SSE:レベル3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Sheet1!$Y$32:$AB$32</c:f>
                <c:numCache>
                  <c:formatCode>General</c:formatCode>
                  <c:ptCount val="4"/>
                  <c:pt idx="0">
                    <c:v>0.56172917845395709</c:v>
                  </c:pt>
                  <c:pt idx="1">
                    <c:v>0.63296831068209714</c:v>
                  </c:pt>
                  <c:pt idx="2">
                    <c:v>0.57211752874642585</c:v>
                  </c:pt>
                  <c:pt idx="3">
                    <c:v>0.52767606316920235</c:v>
                  </c:pt>
                </c:numCache>
              </c:numRef>
            </c:plus>
            <c:minus>
              <c:numRef>
                <c:f>Sheet1!$Y$32:$AB$32</c:f>
                <c:numCache>
                  <c:formatCode>General</c:formatCode>
                  <c:ptCount val="4"/>
                  <c:pt idx="0">
                    <c:v>0.56172917845395709</c:v>
                  </c:pt>
                  <c:pt idx="1">
                    <c:v>0.63296831068209714</c:v>
                  </c:pt>
                  <c:pt idx="2">
                    <c:v>0.57211752874642585</c:v>
                  </c:pt>
                  <c:pt idx="3">
                    <c:v>0.52767606316920235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1.1724875556116092</c:v>
                </c:pt>
                <c:pt idx="1">
                  <c:v>1.3905952826208967</c:v>
                </c:pt>
                <c:pt idx="2">
                  <c:v>1.4788221826692267</c:v>
                </c:pt>
                <c:pt idx="3">
                  <c:v>1.3242302424381422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8A-4EA4-8F17-9BFCCBC8819E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SSE:レベル4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Sheet1!$Y$33:$AB$33</c:f>
                <c:numCache>
                  <c:formatCode>General</c:formatCode>
                  <c:ptCount val="4"/>
                  <c:pt idx="0">
                    <c:v>0.70518295715949153</c:v>
                  </c:pt>
                  <c:pt idx="1">
                    <c:v>0.46492418956286202</c:v>
                  </c:pt>
                  <c:pt idx="2">
                    <c:v>0.6611598653294507</c:v>
                  </c:pt>
                  <c:pt idx="3">
                    <c:v>0.54084226663462387</c:v>
                  </c:pt>
                </c:numCache>
              </c:numRef>
            </c:plus>
            <c:minus>
              <c:numRef>
                <c:f>Sheet1!$Y$33:$AB$33</c:f>
                <c:numCache>
                  <c:formatCode>General</c:formatCode>
                  <c:ptCount val="4"/>
                  <c:pt idx="0">
                    <c:v>0.70518295715949153</c:v>
                  </c:pt>
                  <c:pt idx="1">
                    <c:v>0.46492418956286202</c:v>
                  </c:pt>
                  <c:pt idx="2">
                    <c:v>0.6611598653294507</c:v>
                  </c:pt>
                  <c:pt idx="3">
                    <c:v>0.54084226663462387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1.6648107339032983</c:v>
                </c:pt>
                <c:pt idx="1">
                  <c:v>1.3452624561026549</c:v>
                </c:pt>
                <c:pt idx="2">
                  <c:v>1.6738923020595387</c:v>
                </c:pt>
                <c:pt idx="3">
                  <c:v>1.4290336023369752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8A-4EA4-8F17-9BFCCBC8819E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SSE:レベル5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Sheet1!$Y$34:$AB$34</c:f>
                <c:numCache>
                  <c:formatCode>General</c:formatCode>
                  <c:ptCount val="4"/>
                  <c:pt idx="0">
                    <c:v>0.57889215436379982</c:v>
                  </c:pt>
                  <c:pt idx="1">
                    <c:v>0.36958537321492413</c:v>
                  </c:pt>
                  <c:pt idx="2">
                    <c:v>0.5992187244845345</c:v>
                  </c:pt>
                  <c:pt idx="3">
                    <c:v>0.4624593999953539</c:v>
                  </c:pt>
                </c:numCache>
              </c:numRef>
            </c:plus>
            <c:minus>
              <c:numRef>
                <c:f>Sheet1!$Y$34:$AB$34</c:f>
                <c:numCache>
                  <c:formatCode>General</c:formatCode>
                  <c:ptCount val="4"/>
                  <c:pt idx="0">
                    <c:v>0.57889215436379982</c:v>
                  </c:pt>
                  <c:pt idx="1">
                    <c:v>0.36958537321492413</c:v>
                  </c:pt>
                  <c:pt idx="2">
                    <c:v>0.5992187244845345</c:v>
                  </c:pt>
                  <c:pt idx="3">
                    <c:v>0.4624593999953539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通常：事前</c:v>
                </c:pt>
                <c:pt idx="1">
                  <c:v>回転：事前</c:v>
                </c:pt>
                <c:pt idx="2">
                  <c:v>通常：事後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2.0482936711594011</c:v>
                </c:pt>
                <c:pt idx="1">
                  <c:v>1.0288207917595102</c:v>
                </c:pt>
                <c:pt idx="2">
                  <c:v>2.132452369691713</c:v>
                </c:pt>
                <c:pt idx="3">
                  <c:v>1.0764075251380558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8A-4EA4-8F17-9BFCCBC88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703088"/>
        <c:axId val="701707352"/>
      </c:barChart>
      <c:catAx>
        <c:axId val="7017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707352"/>
        <c:crosses val="autoZero"/>
        <c:auto val="1"/>
        <c:lblAlgn val="ctr"/>
        <c:lblOffset val="100"/>
        <c:noMultiLvlLbl val="0"/>
      </c:catAx>
      <c:valAx>
        <c:axId val="70170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サッカード回数</a:t>
                </a:r>
              </a:p>
            </c:rich>
          </c:tx>
          <c:layout>
            <c:manualLayout>
              <c:xMode val="edge"/>
              <c:yMode val="edge"/>
              <c:x val="1.8814814814814815E-2"/>
              <c:y val="0.2263980023330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7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656167</xdr:colOff>
      <xdr:row>4</xdr:row>
      <xdr:rowOff>136525</xdr:rowOff>
    </xdr:from>
    <xdr:to>
      <xdr:col>27</xdr:col>
      <xdr:colOff>552834</xdr:colOff>
      <xdr:row>20</xdr:row>
      <xdr:rowOff>149225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2552FB4-F236-31B9-39B3-7A6863372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582084</xdr:colOff>
      <xdr:row>12</xdr:row>
      <xdr:rowOff>115358</xdr:rowOff>
    </xdr:from>
    <xdr:to>
      <xdr:col>30</xdr:col>
      <xdr:colOff>478751</xdr:colOff>
      <xdr:row>28</xdr:row>
      <xdr:rowOff>128058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1A7194F-CE20-309A-99EB-A238F39CC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"/>
  <sheetViews>
    <sheetView tabSelected="1" topLeftCell="N4" zoomScale="90" zoomScaleNormal="90" workbookViewId="0">
      <selection activeCell="R30" sqref="R30:R34"/>
    </sheetView>
  </sheetViews>
  <sheetFormatPr defaultRowHeight="13.5" x14ac:dyDescent="0.15"/>
  <sheetData>
    <row r="1" spans="1:3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</row>
    <row r="2" spans="1:31" x14ac:dyDescent="0.15">
      <c r="A2" s="1" t="s">
        <v>14</v>
      </c>
      <c r="B2" s="5">
        <v>2.2090866589085398</v>
      </c>
      <c r="C2" s="6">
        <v>2.9103141440452518</v>
      </c>
      <c r="D2" s="6">
        <v>2.057943394997408</v>
      </c>
      <c r="E2" s="6">
        <v>2.3602016200898182</v>
      </c>
      <c r="F2" s="6">
        <v>2.5700620501836569</v>
      </c>
      <c r="G2" s="6">
        <v>2.2139501712569789</v>
      </c>
      <c r="H2" s="6">
        <v>2.6027247128954949</v>
      </c>
      <c r="I2" s="6">
        <v>2.331183329634591</v>
      </c>
      <c r="J2" s="6">
        <v>2.2486868630633041</v>
      </c>
      <c r="K2" s="6">
        <v>2.5409616087815952</v>
      </c>
      <c r="L2" s="6">
        <v>2.4738571290399509</v>
      </c>
      <c r="M2" s="6">
        <v>2.6227515768247951</v>
      </c>
      <c r="N2" s="6">
        <v>2.7272893242169651</v>
      </c>
      <c r="O2" s="6">
        <v>2.6307924213845419</v>
      </c>
      <c r="Q2" t="s">
        <v>48</v>
      </c>
      <c r="R2">
        <f>AVERAGE(B2:B6)</f>
        <v>2.3098502842145772</v>
      </c>
      <c r="S2">
        <f t="shared" ref="S2:AE2" si="0">AVERAGE(C2:C6)</f>
        <v>2.8377421745749349</v>
      </c>
      <c r="T2">
        <f t="shared" si="0"/>
        <v>2.0627713553668365</v>
      </c>
      <c r="U2">
        <f t="shared" si="0"/>
        <v>2.708289500984447</v>
      </c>
      <c r="V2">
        <f t="shared" si="0"/>
        <v>2.6324388379023289</v>
      </c>
      <c r="W2">
        <f t="shared" si="0"/>
        <v>2.4906742377080815</v>
      </c>
      <c r="X2">
        <f t="shared" si="0"/>
        <v>2.5136858078335811</v>
      </c>
      <c r="Y2">
        <f t="shared" si="0"/>
        <v>2.6500465588297888</v>
      </c>
      <c r="Z2">
        <f t="shared" si="0"/>
        <v>2.2930684344443444</v>
      </c>
      <c r="AA2">
        <f t="shared" si="0"/>
        <v>3.034845241059696</v>
      </c>
      <c r="AB2">
        <f t="shared" si="0"/>
        <v>2.3361034587369791</v>
      </c>
      <c r="AC2">
        <f t="shared" si="0"/>
        <v>2.6533988958203203</v>
      </c>
      <c r="AD2">
        <f t="shared" si="0"/>
        <v>2.758248661141959</v>
      </c>
      <c r="AE2">
        <f t="shared" si="0"/>
        <v>2.6122650000052734</v>
      </c>
    </row>
    <row r="3" spans="1:31" x14ac:dyDescent="0.15">
      <c r="A3" s="1" t="s">
        <v>15</v>
      </c>
      <c r="B3" s="7">
        <v>2.309062324530454</v>
      </c>
      <c r="C3">
        <v>2.9507221222392901</v>
      </c>
      <c r="D3">
        <v>2.2363377546868999</v>
      </c>
      <c r="E3">
        <v>2.7645440630805811</v>
      </c>
      <c r="F3">
        <v>2.7444096489284728</v>
      </c>
      <c r="G3">
        <v>2.430545371605036</v>
      </c>
      <c r="H3">
        <v>2.5650761412882699</v>
      </c>
      <c r="I3">
        <v>2.85871727983477</v>
      </c>
      <c r="J3">
        <v>2.2695045324059899</v>
      </c>
      <c r="K3">
        <v>3.0192515432967069</v>
      </c>
      <c r="L3">
        <v>2.2128198556485019</v>
      </c>
      <c r="M3">
        <v>2.888987542127937</v>
      </c>
      <c r="N3">
        <v>2.9906195108535911</v>
      </c>
      <c r="O3">
        <v>2.6363335948534901</v>
      </c>
      <c r="Q3" t="s">
        <v>49</v>
      </c>
      <c r="R3">
        <f>AVERAGE(B7:B16)</f>
        <v>2.8428359323132923</v>
      </c>
      <c r="S3">
        <f t="shared" ref="S3:AE3" si="1">AVERAGE(C7:C16)</f>
        <v>2.4009337750625748</v>
      </c>
      <c r="T3">
        <f t="shared" si="1"/>
        <v>1.9677954367569277</v>
      </c>
      <c r="U3">
        <f t="shared" si="1"/>
        <v>2.1176465560450639</v>
      </c>
      <c r="V3">
        <f t="shared" si="1"/>
        <v>1.9885133945111924</v>
      </c>
      <c r="W3">
        <f t="shared" si="1"/>
        <v>1.810307880670551</v>
      </c>
      <c r="X3">
        <f t="shared" si="1"/>
        <v>1.5416883945823994</v>
      </c>
      <c r="Y3">
        <f t="shared" si="1"/>
        <v>1.9804270793552412</v>
      </c>
      <c r="Z3">
        <f t="shared" si="1"/>
        <v>1.7901417053539148</v>
      </c>
      <c r="AA3">
        <f t="shared" si="1"/>
        <v>1.7823676146187519</v>
      </c>
      <c r="AB3">
        <f t="shared" si="1"/>
        <v>2.201873632965119</v>
      </c>
      <c r="AC3">
        <f t="shared" si="1"/>
        <v>2.3342703618904883</v>
      </c>
      <c r="AD3">
        <f t="shared" si="1"/>
        <v>2.3240503994633528</v>
      </c>
      <c r="AE3">
        <f t="shared" si="1"/>
        <v>2.1121121497691613</v>
      </c>
    </row>
    <row r="4" spans="1:31" x14ac:dyDescent="0.15">
      <c r="A4" s="1" t="s">
        <v>16</v>
      </c>
      <c r="B4" s="7">
        <v>2.2178429326595692</v>
      </c>
      <c r="C4">
        <v>3.0725744788388032</v>
      </c>
      <c r="D4">
        <v>2.0740033931802748</v>
      </c>
      <c r="E4">
        <v>3.0406153184372</v>
      </c>
      <c r="F4">
        <v>2.4548519344830719</v>
      </c>
      <c r="G4">
        <v>2.4816682827036778</v>
      </c>
      <c r="H4">
        <v>2.4047041122928041</v>
      </c>
      <c r="I4">
        <v>2.8592236149463099</v>
      </c>
      <c r="J4">
        <v>2.343281705508919</v>
      </c>
      <c r="K4">
        <v>3.2328645018206288</v>
      </c>
      <c r="L4">
        <v>2.3059960087308502</v>
      </c>
      <c r="M4">
        <v>2.7701324414602482</v>
      </c>
      <c r="N4">
        <v>2.6444353578190398</v>
      </c>
      <c r="O4">
        <v>2.627252796812948</v>
      </c>
      <c r="Q4" t="s">
        <v>50</v>
      </c>
      <c r="R4">
        <f>AVERAGE(B17:B21)</f>
        <v>1.661575790466427</v>
      </c>
      <c r="S4">
        <f t="shared" ref="S4:AE4" si="2">AVERAGE(C17:C21)</f>
        <v>2.45879611701316</v>
      </c>
      <c r="T4">
        <f t="shared" si="2"/>
        <v>1.6191141326863001</v>
      </c>
      <c r="U4">
        <f t="shared" si="2"/>
        <v>1.2831350273882973</v>
      </c>
      <c r="V4">
        <f t="shared" si="2"/>
        <v>2.1659834446456827</v>
      </c>
      <c r="W4">
        <f t="shared" si="2"/>
        <v>1.9111077503360232</v>
      </c>
      <c r="X4">
        <f t="shared" si="2"/>
        <v>1.6213899083420895</v>
      </c>
      <c r="Y4">
        <f t="shared" si="2"/>
        <v>1.8930112406680297</v>
      </c>
      <c r="Z4">
        <f t="shared" si="2"/>
        <v>1.6681414979557971</v>
      </c>
      <c r="AA4">
        <f t="shared" si="2"/>
        <v>2.0235716319989292</v>
      </c>
      <c r="AB4">
        <f t="shared" si="2"/>
        <v>1.5887055837321729</v>
      </c>
      <c r="AC4">
        <f t="shared" si="2"/>
        <v>2.3484666760626189</v>
      </c>
      <c r="AD4">
        <f t="shared" si="2"/>
        <v>2.227973356463897</v>
      </c>
      <c r="AE4">
        <f t="shared" si="2"/>
        <v>2.1729714480494273</v>
      </c>
    </row>
    <row r="5" spans="1:31" x14ac:dyDescent="0.15">
      <c r="A5" s="1" t="s">
        <v>17</v>
      </c>
      <c r="B5" s="7">
        <v>2.3618729627616988</v>
      </c>
      <c r="C5">
        <v>2.480672658879215</v>
      </c>
      <c r="D5">
        <v>2.0063517962980129</v>
      </c>
      <c r="E5">
        <v>2.6238803835027902</v>
      </c>
      <c r="F5">
        <v>2.6956652062538442</v>
      </c>
      <c r="G5">
        <v>2.7538329540576529</v>
      </c>
      <c r="H5">
        <v>2.4363131073120639</v>
      </c>
      <c r="I5">
        <v>2.6962256617726479</v>
      </c>
      <c r="J5">
        <v>2.3474302677304788</v>
      </c>
      <c r="K5">
        <v>3.1462617370848491</v>
      </c>
      <c r="L5">
        <v>2.306767253816425</v>
      </c>
      <c r="M5">
        <v>2.3789547886313058</v>
      </c>
      <c r="N5">
        <v>2.6548732964699919</v>
      </c>
      <c r="O5">
        <v>2.5639166347214162</v>
      </c>
      <c r="Q5" t="s">
        <v>51</v>
      </c>
      <c r="R5">
        <f>AVERAGE(B22:B31)</f>
        <v>2.1170031981395296</v>
      </c>
      <c r="S5">
        <f t="shared" ref="S5:AE5" si="3">AVERAGE(C22:C31)</f>
        <v>1.9026118469860118</v>
      </c>
      <c r="T5">
        <f t="shared" si="3"/>
        <v>1.4887858324742846</v>
      </c>
      <c r="U5">
        <f t="shared" si="3"/>
        <v>0.86433917905246194</v>
      </c>
      <c r="V5">
        <f t="shared" si="3"/>
        <v>1.3805082176836596</v>
      </c>
      <c r="W5">
        <f t="shared" si="3"/>
        <v>1.4424812231966597</v>
      </c>
      <c r="X5">
        <f t="shared" si="3"/>
        <v>1.0545274493588015</v>
      </c>
      <c r="Y5">
        <f t="shared" si="3"/>
        <v>1.6455923024218186</v>
      </c>
      <c r="Z5">
        <f t="shared" si="3"/>
        <v>0.86681459534100436</v>
      </c>
      <c r="AA5">
        <f t="shared" si="3"/>
        <v>1.2354713444996805</v>
      </c>
      <c r="AB5">
        <f t="shared" si="3"/>
        <v>1.1546017684357441</v>
      </c>
      <c r="AC5">
        <f t="shared" si="3"/>
        <v>1.2514563344925744</v>
      </c>
      <c r="AD5">
        <f t="shared" si="3"/>
        <v>1.5293750750032142</v>
      </c>
      <c r="AE5">
        <f t="shared" si="3"/>
        <v>0.75666030590242728</v>
      </c>
    </row>
    <row r="6" spans="1:31" ht="14.25" thickBot="1" x14ac:dyDescent="0.2">
      <c r="A6" s="1" t="s">
        <v>18</v>
      </c>
      <c r="B6" s="8">
        <v>2.4513865422126231</v>
      </c>
      <c r="C6" s="9">
        <v>2.7744274688721151</v>
      </c>
      <c r="D6" s="9">
        <v>1.9392204376715869</v>
      </c>
      <c r="E6" s="9">
        <v>2.7522061198118442</v>
      </c>
      <c r="F6" s="9">
        <v>2.6972053496626001</v>
      </c>
      <c r="G6" s="9">
        <v>2.5733744089170609</v>
      </c>
      <c r="H6" s="9">
        <v>2.5596109653792731</v>
      </c>
      <c r="I6" s="9">
        <v>2.5048829079606261</v>
      </c>
      <c r="J6" s="9">
        <v>2.2564388035130269</v>
      </c>
      <c r="K6" s="9">
        <v>3.2348868143147009</v>
      </c>
      <c r="L6" s="9">
        <v>2.381077046449168</v>
      </c>
      <c r="M6" s="9">
        <v>2.606168130057315</v>
      </c>
      <c r="N6" s="9">
        <v>2.7740258163502061</v>
      </c>
      <c r="O6" s="9">
        <v>2.6030295522539699</v>
      </c>
    </row>
    <row r="7" spans="1:31" x14ac:dyDescent="0.15">
      <c r="A7" s="1" t="s">
        <v>19</v>
      </c>
      <c r="B7" s="10">
        <v>2.951851077215399</v>
      </c>
      <c r="C7" s="11">
        <v>2.551666022971752</v>
      </c>
      <c r="D7" s="11">
        <v>2.3627459867374609</v>
      </c>
      <c r="E7" s="11">
        <v>2.0663697822163729</v>
      </c>
      <c r="F7" s="11">
        <v>1.645506999366237</v>
      </c>
      <c r="G7" s="11">
        <v>1.714456794254881</v>
      </c>
      <c r="H7" s="11">
        <v>1.6567026707074191</v>
      </c>
      <c r="I7" s="11">
        <v>2.1292473116469099</v>
      </c>
      <c r="J7" s="11">
        <v>1.667130259298498</v>
      </c>
      <c r="K7" s="11">
        <v>1.3998564536279181</v>
      </c>
      <c r="L7" s="11">
        <v>2.3138909078265191</v>
      </c>
      <c r="M7" s="11">
        <v>2.3678306045261381</v>
      </c>
      <c r="N7" s="11">
        <v>2.2887408596059191</v>
      </c>
      <c r="O7" s="11">
        <v>2.1456117133519101</v>
      </c>
    </row>
    <row r="8" spans="1:31" x14ac:dyDescent="0.15">
      <c r="A8" s="1" t="s">
        <v>20</v>
      </c>
      <c r="B8" s="7">
        <v>3.1357969673264501</v>
      </c>
      <c r="C8">
        <v>2.6297730679925801</v>
      </c>
      <c r="D8">
        <v>1.8715742663949351</v>
      </c>
      <c r="E8">
        <v>2.2790980744156908</v>
      </c>
      <c r="F8">
        <v>1.9607051828774169</v>
      </c>
      <c r="G8">
        <v>1.7234947911440319</v>
      </c>
      <c r="H8">
        <v>1.873751989792124</v>
      </c>
      <c r="I8">
        <v>2.0687224861208069</v>
      </c>
      <c r="J8">
        <v>1.6556029839119211</v>
      </c>
      <c r="K8">
        <v>1.78230427833871</v>
      </c>
      <c r="L8">
        <v>2.5453838664362869</v>
      </c>
      <c r="M8">
        <v>2.6584915681764199</v>
      </c>
      <c r="N8">
        <v>2.2576866431301679</v>
      </c>
      <c r="O8">
        <v>2.4414847433469768</v>
      </c>
    </row>
    <row r="9" spans="1:31" x14ac:dyDescent="0.15">
      <c r="A9" s="1" t="s">
        <v>21</v>
      </c>
      <c r="B9" s="7">
        <v>2.9550313666567569</v>
      </c>
      <c r="C9">
        <v>2.181548181401801</v>
      </c>
      <c r="D9">
        <v>1.797642944875619</v>
      </c>
      <c r="E9">
        <v>1.9449246742576609</v>
      </c>
      <c r="F9">
        <v>1.929949393446162</v>
      </c>
      <c r="G9">
        <v>1.874862817656842</v>
      </c>
      <c r="H9">
        <v>1.402427221303532</v>
      </c>
      <c r="I9">
        <v>1.9440134089247769</v>
      </c>
      <c r="J9">
        <v>1.7039994483864369</v>
      </c>
      <c r="K9">
        <v>1.946556145714377</v>
      </c>
      <c r="L9">
        <v>2.472037688654952</v>
      </c>
      <c r="M9">
        <v>2.6151629615293071</v>
      </c>
      <c r="N9">
        <v>2.2841870296894018</v>
      </c>
      <c r="O9">
        <v>2.244608078571865</v>
      </c>
    </row>
    <row r="10" spans="1:31" x14ac:dyDescent="0.15">
      <c r="A10" s="1" t="s">
        <v>22</v>
      </c>
      <c r="B10" s="7">
        <v>3.0022137965039248</v>
      </c>
      <c r="C10">
        <v>2.5939229199127261</v>
      </c>
      <c r="D10">
        <v>2.066990080126315</v>
      </c>
      <c r="E10">
        <v>2.314055323424995</v>
      </c>
      <c r="F10">
        <v>1.9690656540050619</v>
      </c>
      <c r="G10">
        <v>1.621942761041379</v>
      </c>
      <c r="H10">
        <v>1.4415884802066921</v>
      </c>
      <c r="I10">
        <v>2.3878486458348589</v>
      </c>
      <c r="J10">
        <v>1.777543070178089</v>
      </c>
      <c r="K10">
        <v>1.705858354536451</v>
      </c>
      <c r="L10">
        <v>2.5220647735477462</v>
      </c>
      <c r="M10">
        <v>2.6429480538968848</v>
      </c>
      <c r="N10">
        <v>2.5311278084578261</v>
      </c>
      <c r="O10">
        <v>2.2308000206393692</v>
      </c>
    </row>
    <row r="11" spans="1:31" x14ac:dyDescent="0.15">
      <c r="A11" s="1" t="s">
        <v>23</v>
      </c>
      <c r="B11" s="7">
        <v>3.303412605913945</v>
      </c>
      <c r="C11">
        <v>2.2633596116075259</v>
      </c>
      <c r="D11">
        <v>1.8035405875996731</v>
      </c>
      <c r="E11">
        <v>2.2906712829440381</v>
      </c>
      <c r="F11">
        <v>1.984726343942766</v>
      </c>
      <c r="G11">
        <v>1.941914950558165</v>
      </c>
      <c r="H11">
        <v>1.526316605243998</v>
      </c>
      <c r="I11">
        <v>1.991453687590045</v>
      </c>
      <c r="J11">
        <v>1.954182733569688</v>
      </c>
      <c r="K11">
        <v>1.6477440784389319</v>
      </c>
      <c r="L11">
        <v>2.057939462890515</v>
      </c>
      <c r="M11">
        <v>2.3929861549557012</v>
      </c>
      <c r="N11">
        <v>2.504503058393249</v>
      </c>
      <c r="O11">
        <v>2.0683245178756962</v>
      </c>
    </row>
    <row r="12" spans="1:31" x14ac:dyDescent="0.15">
      <c r="A12" s="1" t="s">
        <v>24</v>
      </c>
      <c r="B12" s="7">
        <v>3.0519073245187971</v>
      </c>
      <c r="C12">
        <v>2.113092884572183</v>
      </c>
      <c r="D12">
        <v>1.964616422159754</v>
      </c>
      <c r="E12">
        <v>2.3450918268186931</v>
      </c>
      <c r="F12">
        <v>2.1806827349729221</v>
      </c>
      <c r="G12">
        <v>1.6304371441606389</v>
      </c>
      <c r="H12">
        <v>1.6451695587332731</v>
      </c>
      <c r="I12">
        <v>1.8298841111161941</v>
      </c>
      <c r="J12">
        <v>2.0004618873090072</v>
      </c>
      <c r="K12">
        <v>1.7879060398127751</v>
      </c>
      <c r="L12">
        <v>2.2215819771495409</v>
      </c>
      <c r="M12">
        <v>2.348053143460505</v>
      </c>
      <c r="N12">
        <v>2.5898581524476141</v>
      </c>
      <c r="O12">
        <v>2.196366182555018</v>
      </c>
    </row>
    <row r="13" spans="1:31" x14ac:dyDescent="0.15">
      <c r="A13" s="1" t="s">
        <v>25</v>
      </c>
      <c r="B13" s="7">
        <v>2.435712919050089</v>
      </c>
      <c r="C13">
        <v>2.0407784915639549</v>
      </c>
      <c r="D13">
        <v>1.8479129130094449</v>
      </c>
      <c r="E13">
        <v>2.0472342701468289</v>
      </c>
      <c r="F13">
        <v>1.9763003067133991</v>
      </c>
      <c r="G13">
        <v>1.727681398971034</v>
      </c>
      <c r="H13">
        <v>1.497089904809735</v>
      </c>
      <c r="I13">
        <v>1.7834860440353191</v>
      </c>
      <c r="J13">
        <v>1.629919165992161</v>
      </c>
      <c r="K13">
        <v>1.924594833384232</v>
      </c>
      <c r="L13">
        <v>2.051943014397815</v>
      </c>
      <c r="M13">
        <v>2.0112216939627752</v>
      </c>
      <c r="N13">
        <v>2.2851068838668689</v>
      </c>
      <c r="O13">
        <v>2.02506481072969</v>
      </c>
    </row>
    <row r="14" spans="1:31" x14ac:dyDescent="0.15">
      <c r="A14" s="1" t="s">
        <v>26</v>
      </c>
      <c r="B14" s="7">
        <v>2.4397593165335838</v>
      </c>
      <c r="C14">
        <v>2.49187090821705</v>
      </c>
      <c r="D14">
        <v>1.7267540263066681</v>
      </c>
      <c r="E14">
        <v>1.87776065573609</v>
      </c>
      <c r="F14">
        <v>2.047578305029119</v>
      </c>
      <c r="G14">
        <v>1.998228663344999</v>
      </c>
      <c r="H14">
        <v>1.3367173874687051</v>
      </c>
      <c r="I14">
        <v>1.7077076336671559</v>
      </c>
      <c r="J14">
        <v>1.817738135958215</v>
      </c>
      <c r="K14">
        <v>1.4359239406422399</v>
      </c>
      <c r="L14">
        <v>1.862889858701382</v>
      </c>
      <c r="M14">
        <v>1.678009928573696</v>
      </c>
      <c r="N14">
        <v>2.0907897893945662</v>
      </c>
      <c r="O14">
        <v>2.000978346966571</v>
      </c>
    </row>
    <row r="15" spans="1:31" x14ac:dyDescent="0.15">
      <c r="A15" s="1" t="s">
        <v>27</v>
      </c>
      <c r="B15" s="7">
        <v>2.63276203133363</v>
      </c>
      <c r="C15">
        <v>2.461401279066274</v>
      </c>
      <c r="D15">
        <v>1.8063766323068959</v>
      </c>
      <c r="E15">
        <v>1.974158730842603</v>
      </c>
      <c r="F15">
        <v>2.153431215450214</v>
      </c>
      <c r="G15">
        <v>1.958096705529615</v>
      </c>
      <c r="H15">
        <v>1.6638776373390221</v>
      </c>
      <c r="I15">
        <v>2.0060009851776468</v>
      </c>
      <c r="J15">
        <v>1.844755792091846</v>
      </c>
      <c r="K15">
        <v>2.0854699806921948</v>
      </c>
      <c r="L15">
        <v>1.82605583186975</v>
      </c>
      <c r="M15">
        <v>2.3686405658985832</v>
      </c>
      <c r="N15">
        <v>2.2861916625614471</v>
      </c>
      <c r="O15">
        <v>1.9015728361651041</v>
      </c>
    </row>
    <row r="16" spans="1:31" ht="14.25" thickBot="1" x14ac:dyDescent="0.2">
      <c r="A16" s="1" t="s">
        <v>28</v>
      </c>
      <c r="B16" s="8">
        <v>2.51991191808035</v>
      </c>
      <c r="C16" s="9">
        <v>2.6819243833199011</v>
      </c>
      <c r="D16" s="9">
        <v>2.4298005080525078</v>
      </c>
      <c r="E16" s="9">
        <v>2.0371009396476611</v>
      </c>
      <c r="F16" s="9">
        <v>2.0371878093086249</v>
      </c>
      <c r="G16" s="9">
        <v>1.9119627800439229</v>
      </c>
      <c r="H16" s="9">
        <v>1.3732424902194951</v>
      </c>
      <c r="I16" s="9">
        <v>1.9559064794387</v>
      </c>
      <c r="J16" s="9">
        <v>1.8500835768432831</v>
      </c>
      <c r="K16" s="9">
        <v>2.1074620409996889</v>
      </c>
      <c r="L16" s="9">
        <v>2.144948948176685</v>
      </c>
      <c r="M16" s="9">
        <v>2.2593589439248718</v>
      </c>
      <c r="N16" s="9">
        <v>2.1223121070864659</v>
      </c>
      <c r="O16" s="9">
        <v>1.866310247489412</v>
      </c>
    </row>
    <row r="17" spans="1:28" x14ac:dyDescent="0.15">
      <c r="A17" s="1" t="s">
        <v>29</v>
      </c>
      <c r="B17" s="10">
        <v>2.2971283520667871</v>
      </c>
      <c r="C17" s="11">
        <v>2.9578749754637141</v>
      </c>
      <c r="D17" s="11">
        <v>1.6094609837371561</v>
      </c>
      <c r="E17" s="11">
        <v>1.417075207318836</v>
      </c>
      <c r="F17" s="11">
        <v>2.5509657333573759</v>
      </c>
      <c r="G17" s="11">
        <v>2.2919500431441961</v>
      </c>
      <c r="H17" s="11">
        <v>1.7646359930032249</v>
      </c>
      <c r="I17" s="11">
        <v>2.6004105341852628</v>
      </c>
      <c r="J17" s="11">
        <v>1.9262014076010541</v>
      </c>
      <c r="K17" s="11">
        <v>2.1976396961799152</v>
      </c>
      <c r="L17" s="11">
        <v>2.534862786650292</v>
      </c>
      <c r="M17" s="11">
        <v>2.5591658968573481</v>
      </c>
      <c r="N17" s="11">
        <v>2.4481859054882951</v>
      </c>
      <c r="O17" s="11">
        <v>2.6876893636052781</v>
      </c>
    </row>
    <row r="18" spans="1:28" x14ac:dyDescent="0.15">
      <c r="A18" s="1" t="s">
        <v>30</v>
      </c>
      <c r="B18" s="7">
        <v>2.0837539483215468</v>
      </c>
      <c r="C18">
        <v>2.7168843158200269</v>
      </c>
      <c r="D18">
        <v>1.901967968785039</v>
      </c>
      <c r="E18">
        <v>1.603523143848129</v>
      </c>
      <c r="F18">
        <v>2.8078898751202161</v>
      </c>
      <c r="G18">
        <v>2.0452271803069211</v>
      </c>
      <c r="H18">
        <v>1.894890312554474</v>
      </c>
      <c r="I18">
        <v>2.1398397653766299</v>
      </c>
      <c r="J18">
        <v>1.786312475553349</v>
      </c>
      <c r="K18">
        <v>2.8702660890651042</v>
      </c>
      <c r="L18">
        <v>1.925331531387094</v>
      </c>
      <c r="M18">
        <v>2.8606606359435611</v>
      </c>
      <c r="N18">
        <v>3.141980442102438</v>
      </c>
      <c r="O18">
        <v>2.700081861048691</v>
      </c>
      <c r="Q18" t="s">
        <v>59</v>
      </c>
      <c r="R18" t="s">
        <v>52</v>
      </c>
    </row>
    <row r="19" spans="1:28" x14ac:dyDescent="0.15">
      <c r="A19" s="1" t="s">
        <v>31</v>
      </c>
      <c r="B19" s="7">
        <v>1.600359819568439</v>
      </c>
      <c r="C19">
        <v>2.3629429411426939</v>
      </c>
      <c r="D19">
        <v>1.857449770504277</v>
      </c>
      <c r="E19">
        <v>1.608156127865138</v>
      </c>
      <c r="F19">
        <v>2.0238055523786942</v>
      </c>
      <c r="G19">
        <v>1.997276568356402</v>
      </c>
      <c r="H19">
        <v>1.969971058362239</v>
      </c>
      <c r="I19">
        <v>1.9986406814847359</v>
      </c>
      <c r="J19">
        <v>1.357700763480574</v>
      </c>
      <c r="K19">
        <v>2.031724547826252</v>
      </c>
      <c r="L19">
        <v>1.642409162467378</v>
      </c>
      <c r="M19">
        <v>2.3781247145993709</v>
      </c>
      <c r="N19">
        <v>2.4484268949735419</v>
      </c>
      <c r="O19">
        <v>2.6093126128150552</v>
      </c>
      <c r="R19" t="s">
        <v>62</v>
      </c>
      <c r="S19" t="s">
        <v>63</v>
      </c>
      <c r="T19" t="s">
        <v>60</v>
      </c>
      <c r="U19" t="s">
        <v>111</v>
      </c>
      <c r="V19" t="s">
        <v>61</v>
      </c>
    </row>
    <row r="20" spans="1:28" x14ac:dyDescent="0.15">
      <c r="A20" s="1" t="s">
        <v>32</v>
      </c>
      <c r="B20" s="7">
        <v>1.2786613265658979</v>
      </c>
      <c r="C20">
        <v>2.2065368730619892</v>
      </c>
      <c r="D20">
        <v>1.556527080890741</v>
      </c>
      <c r="E20">
        <v>1.1375696720320829</v>
      </c>
      <c r="F20">
        <v>2.041056997801745</v>
      </c>
      <c r="G20">
        <v>2.036270935243425</v>
      </c>
      <c r="H20">
        <v>1.5633285711798031</v>
      </c>
      <c r="I20">
        <v>1.5097984812890499</v>
      </c>
      <c r="J20">
        <v>1.622221053661522</v>
      </c>
      <c r="K20">
        <v>1.841561304722386</v>
      </c>
      <c r="L20">
        <v>1.146774157787376</v>
      </c>
      <c r="M20">
        <v>2.6546011359567041</v>
      </c>
      <c r="N20">
        <v>1.845152339373717</v>
      </c>
      <c r="O20">
        <v>1.7999186037992969</v>
      </c>
      <c r="Q20" t="s">
        <v>54</v>
      </c>
      <c r="R20" t="s">
        <v>113</v>
      </c>
      <c r="X20" t="s">
        <v>106</v>
      </c>
    </row>
    <row r="21" spans="1:28" ht="14.25" thickBot="1" x14ac:dyDescent="0.2">
      <c r="A21" s="1" t="s">
        <v>33</v>
      </c>
      <c r="B21" s="8">
        <v>1.047975505809464</v>
      </c>
      <c r="C21" s="9">
        <v>2.0497414795773752</v>
      </c>
      <c r="D21" s="9">
        <v>1.1701648595142871</v>
      </c>
      <c r="E21" s="9">
        <v>0.649350985877301</v>
      </c>
      <c r="F21" s="9">
        <v>1.4061990645703819</v>
      </c>
      <c r="G21" s="9">
        <v>1.184814024629171</v>
      </c>
      <c r="H21" s="9">
        <v>0.91412360661070702</v>
      </c>
      <c r="I21" s="9">
        <v>1.216366741004469</v>
      </c>
      <c r="J21" s="9">
        <v>1.6482717894824861</v>
      </c>
      <c r="K21" s="9">
        <v>1.176666522200988</v>
      </c>
      <c r="L21" s="9">
        <v>0.69415028036872395</v>
      </c>
      <c r="M21" s="9">
        <v>1.2897809969561109</v>
      </c>
      <c r="N21" s="9">
        <v>1.256121200381493</v>
      </c>
      <c r="O21" s="9">
        <v>1.0678547989788161</v>
      </c>
      <c r="Q21" t="s">
        <v>55</v>
      </c>
      <c r="R21" t="s">
        <v>114</v>
      </c>
      <c r="S21" s="12">
        <f>AVERAGE(D6)</f>
        <v>1.9392204376715869</v>
      </c>
      <c r="T21" s="12">
        <f>AVERAGE(B7:B10,D7,B13,E9,E13,K8,K9,K16,M7)</f>
        <v>2.4199720106227907</v>
      </c>
      <c r="V21" s="12">
        <f>AVERAGE(B7,K7)</f>
        <v>2.1758537654216585</v>
      </c>
      <c r="X21" t="s">
        <v>107</v>
      </c>
      <c r="Y21" s="12">
        <f>_xlfn.STDEV.P($D$6)</f>
        <v>0</v>
      </c>
      <c r="Z21" s="12">
        <f>_xlfn.STDEV.P($B$7:$B$10,$D$7,$B$13,$E$9,$E$13,$K$8,$K$9,$K$16,$M$7)</f>
        <v>0.45824344295019581</v>
      </c>
      <c r="AB21" s="12">
        <f>_xlfn.STDEV.P($B$7,$K$7)</f>
        <v>0.77599731179374032</v>
      </c>
    </row>
    <row r="22" spans="1:28" x14ac:dyDescent="0.15">
      <c r="A22" s="1" t="s">
        <v>34</v>
      </c>
      <c r="B22">
        <v>2.0021730017422121</v>
      </c>
      <c r="C22">
        <v>2.216371126187473</v>
      </c>
      <c r="D22">
        <v>0.8901268532165878</v>
      </c>
      <c r="E22">
        <v>0.87579353657817416</v>
      </c>
      <c r="F22">
        <v>1.636265679071224</v>
      </c>
      <c r="G22">
        <v>1.109033334293815</v>
      </c>
      <c r="H22">
        <v>1.034974274002489</v>
      </c>
      <c r="I22">
        <v>2.5849400106066711</v>
      </c>
      <c r="J22">
        <v>0.82162462381098567</v>
      </c>
      <c r="K22">
        <v>1.477203696469469</v>
      </c>
      <c r="L22">
        <v>1.521810297072663</v>
      </c>
      <c r="M22">
        <v>1.52182118134749</v>
      </c>
      <c r="N22">
        <v>1.870004745689583</v>
      </c>
      <c r="O22">
        <v>0.86119192257429567</v>
      </c>
      <c r="Q22" t="s">
        <v>57</v>
      </c>
      <c r="R22" t="s">
        <v>115</v>
      </c>
      <c r="S22" s="12">
        <f>AVERAGE(B4:B6,D4:D5,I6)</f>
        <v>2.2693900891788008</v>
      </c>
      <c r="T22" s="12">
        <f>AVERAGE(B11:B12,B15:B16,D9,D11,D13,D15,E8,E10:E11,E14:E15,F8:F10,F16,H7:H11,H13,H15:H16,K7,K10:K15,L16,M8,M10,M12,M14:M16,)</f>
        <v>1.9479730224375864</v>
      </c>
      <c r="U22" s="12">
        <f>AVERAGE(B3,D3)</f>
        <v>2.2727000396086767</v>
      </c>
      <c r="V22" s="12">
        <f>AVERAGE(B8:B9,B15:B16,E7:F9,F11,E13,E15:F16,H7,H9:H10,H14:H15,K8:K16,L15:L16,M13:M16,M7,M11,)</f>
        <v>1.9558482425843231</v>
      </c>
      <c r="X22" t="s">
        <v>108</v>
      </c>
      <c r="Y22" s="12">
        <f>_xlfn.STDEV.P($B$4:$B$6,$D$4:$D$5,$I$6)</f>
        <v>0.1858112269486292</v>
      </c>
      <c r="Z22" s="12">
        <f>_xlfn.STDEV.P($B$11:$B$12,$B$15:$B$16,$D$9,$D$11,$D$13,$D$15,$E$8,$E$10:$E$11,$E$14:$E$15,$F$8:$F$10,$F$16,$H$7:$H$11,$H$13,$H$15:$H$16,$K$7,$K$10:$K$15,$L$16,$M$8,$M$10,$M$12,$M$14:$M$16,)</f>
        <v>0.54364794874386313</v>
      </c>
      <c r="AA22" s="12">
        <f>_xlfn.STDEV.P($B$3,$D$3)</f>
        <v>3.6362284921777066E-2</v>
      </c>
      <c r="AB22" s="12">
        <f>_xlfn.STDEV.P($B$8:$B$9,$B$15:$B$16,$E$7:$F$9,$F$11,$E$13,$E$15:$F$16,$H$7,$H$9:$H$10,$H$14:$H$15,$K$8:$K$16,$L$15:$L$16,$M$13:$M$16,$M$7,$M$11,)</f>
        <v>0.49819910877099127</v>
      </c>
    </row>
    <row r="23" spans="1:28" x14ac:dyDescent="0.15">
      <c r="A23" s="1" t="s">
        <v>35</v>
      </c>
      <c r="B23">
        <v>2.7160579184639029</v>
      </c>
      <c r="C23">
        <v>2.4117947200344689</v>
      </c>
      <c r="D23">
        <v>1.443564476956509</v>
      </c>
      <c r="E23">
        <v>1.263690471191439</v>
      </c>
      <c r="F23">
        <v>1.6903187426878501</v>
      </c>
      <c r="G23">
        <v>1.7019126796602919</v>
      </c>
      <c r="H23">
        <v>1.2034251252477981</v>
      </c>
      <c r="I23">
        <v>1.564168083226853</v>
      </c>
      <c r="J23">
        <v>1.2152535100486641</v>
      </c>
      <c r="K23">
        <v>2.188115182752056</v>
      </c>
      <c r="L23">
        <v>1.2751104332911589</v>
      </c>
      <c r="M23">
        <v>1.312021211754945</v>
      </c>
      <c r="N23">
        <v>1.8473083983477341</v>
      </c>
      <c r="O23">
        <v>1.087595729949056</v>
      </c>
      <c r="Q23" t="s">
        <v>56</v>
      </c>
      <c r="R23" t="s">
        <v>116</v>
      </c>
      <c r="S23" s="12">
        <f>AVERAGE(B2:B3,D3,C5:C6,E6,I4:I5,K5:K6,L6)</f>
        <v>2.6435879872960677</v>
      </c>
      <c r="T23" s="12">
        <f>AVERAGE(C7:C16,B14,D8,D10,D12,D14,D16,E16,E12,E7,F7,F11:F15,G15,H12,H14,I7:I16,L9,L11:L15,M9,M11,M13,N7:N13,O7:O16,N15:N16)</f>
        <v>2.1435231760103521</v>
      </c>
      <c r="U23" s="12">
        <f>AVERAGE(B4:B6,C5,D6,F4,F6,I3:I6,K5:K6,M5,N6,)</f>
        <v>2.441014464951611</v>
      </c>
      <c r="V23" s="12">
        <f>AVERAGE(B10:B14,C7:C16,D12,D15,E10:E12,E14,F10,F12:F14,G15,H8,H11:H13,H16,I7:I16,J8,L13:L14,M8:M10,N10,N12,N14,O7:O16,)</f>
        <v>2.1395478130121819</v>
      </c>
      <c r="X23" t="s">
        <v>109</v>
      </c>
      <c r="Y23" s="12">
        <f>_xlfn.STDEV.P($B$2:$B$3,$D$3,$C$5:$C$6,$E$6,$I$4:$I$5,$K$5:$K$6,$L$6)</f>
        <v>0.33608798801586431</v>
      </c>
      <c r="Z23" s="12">
        <f>_xlfn.STDEV.P($C$7:$C$16,$B$14,$D$8,$D$10,$D$12,$D$14,$D$16,$E$16,$E$12,$E$7,$F$7,$F$11:$F$15,$G$15,$H$12,$H$14,$I$7:$I$16,$L$9,$L$11:$L$15,$M$9,$M$11,$M$13,$N$7:$N$13,$O$7:$O$16,$N$15:$N$16)</f>
        <v>0.2745621747634775</v>
      </c>
      <c r="AA23" s="12">
        <f>_xlfn.STDEV.P($B$4:$B$6,$C$5,$D$6,$F$4,$F$6,$I$3:$I$6,$K$5:$K$6,$M$5,$N$6)</f>
        <v>0.33056279605024108</v>
      </c>
      <c r="AB23" s="12">
        <f>_xlfn.STDEV.P($B$10:$B$14,$C$7:$C$16,$D$12,$D$15,$E$10:$E$12,$E$14,$F$10,$F$12:$F$14,$G$15,$H$8,$H$11:$H$13,$H$16,$I$7:$I$16,$J$8,$L$13:$L$14,$M$8:$M$10,$N$10,$N$12,$N$14,$O$7:$O$16,)</f>
        <v>0.46596011559336814</v>
      </c>
    </row>
    <row r="24" spans="1:28" x14ac:dyDescent="0.15">
      <c r="A24" s="1" t="s">
        <v>36</v>
      </c>
      <c r="B24">
        <v>1.66856576853215</v>
      </c>
      <c r="C24">
        <v>1.9841518627470049</v>
      </c>
      <c r="D24">
        <v>1.4356847808892099</v>
      </c>
      <c r="E24">
        <v>0.92117283335697475</v>
      </c>
      <c r="F24">
        <v>1.933005934633385</v>
      </c>
      <c r="G24">
        <v>1.9117115085297629</v>
      </c>
      <c r="H24">
        <v>1.527735467700216</v>
      </c>
      <c r="I24">
        <v>1.6854289930476889</v>
      </c>
      <c r="J24">
        <v>1.2730326319675771</v>
      </c>
      <c r="K24">
        <v>1.6351462571181039</v>
      </c>
      <c r="L24">
        <v>1.424466910077534</v>
      </c>
      <c r="M24">
        <v>1.3066623605666521</v>
      </c>
      <c r="N24">
        <v>1.7477819471995699</v>
      </c>
      <c r="O24">
        <v>0.79616620642899816</v>
      </c>
      <c r="Q24" t="s">
        <v>58</v>
      </c>
      <c r="R24" t="s">
        <v>117</v>
      </c>
      <c r="S24" s="12">
        <f>AVERAGE(C2:C4,D2,E2:E5,F2:F6,G2:G6,H2:H6,I2:I3,J2:J6,K2:K4,L2:L5,M2:M6,N2:N6,O2:O6)</f>
        <v>2.5929252578868187</v>
      </c>
      <c r="T24" s="12">
        <f>AVERAGE(G7:G14,J7:J16,L7:L8,L10,N14,)</f>
        <v>1.8089811179076625</v>
      </c>
      <c r="U24" s="12">
        <f>AVERAGE(B2:O2,C3:C4,C6,D4,E3:E6,D5,F3,F5,G3:H6,J3:J6,K3:K4,L3:L6,M3:O4,N5:O5,O6,M6,)</f>
        <v>2.5160279763828259</v>
      </c>
      <c r="V24" s="12">
        <f>AVERAGE(D7:D11,D13:D14,D16,G7:G14,G16,J7,J9:J16,L7:L12,M12,N7:N9,N11,N13,N15:N16,)</f>
        <v>1.9709131109318383</v>
      </c>
      <c r="X24" t="s">
        <v>110</v>
      </c>
      <c r="Y24" s="12">
        <f>_xlfn.STDEV.P($C$2:$C$4,$D$2,$E$2:$E$5,$F$2:$F$6,$G$2:$G$6,$H$2:$H$6,$I$2:$I$3,$J$2:$J$6,$K$2:$K$4,$L$2:$L$5,$M$2:$M$6,$N$2:$N$6,$O$2:$O$6)</f>
        <v>0.25062712753482053</v>
      </c>
      <c r="Z24" s="12">
        <f>_xlfn.STDEV.P($G$7:$G$14,$J$7:$J$16,$L$7:$L$8,$L$10,$N$14,)</f>
        <v>0.46408365414588054</v>
      </c>
      <c r="AA24" s="12">
        <f>_xlfn.STDEV.P($B$2:$O$2,$C$3:$C$4,$C$6,$D$4,$E$3:$E$6,$D$5,$F$3,$F$5,$G$3:$H$6,$J$3:$J$6,$K$3:$K$4,$L$3:$L$6,$M$3:$O$4,$N$5:$O$5,$O$6,$M$6,)</f>
        <v>0.43790290552242056</v>
      </c>
      <c r="AB24" s="12">
        <f>_xlfn.STDEV.P($D$7:$D$11,$D$13:$D$14,$D$16,$G$7:$G$14,$G$16,$J$7,$J$9:$J$16,$L$7:$L$12,$M$12,$N$7:$N$9,$N$11,$N$13,$N$15:$N$16,)</f>
        <v>0.41944483848268399</v>
      </c>
    </row>
    <row r="25" spans="1:28" x14ac:dyDescent="0.15">
      <c r="A25" s="1" t="s">
        <v>37</v>
      </c>
      <c r="B25">
        <v>2.389959308630631</v>
      </c>
      <c r="C25">
        <v>2.0579620127633671</v>
      </c>
      <c r="D25">
        <v>1.9591576459208</v>
      </c>
      <c r="E25">
        <v>0.75416792234755148</v>
      </c>
      <c r="F25">
        <v>1.7035562208880639</v>
      </c>
      <c r="G25">
        <v>1.623583175710386</v>
      </c>
      <c r="H25">
        <v>1.8747967501367191</v>
      </c>
      <c r="I25">
        <v>1.3725053475010709</v>
      </c>
      <c r="J25">
        <v>1.2960809642010069</v>
      </c>
      <c r="K25">
        <v>1.3930819802532839</v>
      </c>
      <c r="L25">
        <v>1.0490472383988301</v>
      </c>
      <c r="M25">
        <v>1.488803312622597</v>
      </c>
      <c r="N25">
        <v>1.903730528428895</v>
      </c>
      <c r="O25">
        <v>0.9060087121571635</v>
      </c>
    </row>
    <row r="26" spans="1:28" x14ac:dyDescent="0.15">
      <c r="A26" s="1" t="s">
        <v>38</v>
      </c>
      <c r="B26">
        <v>1.88268141456487</v>
      </c>
      <c r="C26">
        <v>2.0203542757036548</v>
      </c>
      <c r="D26">
        <v>1.3899586532548109</v>
      </c>
      <c r="E26">
        <v>0.62371419754055812</v>
      </c>
      <c r="F26">
        <v>1.371176480299503</v>
      </c>
      <c r="G26">
        <v>1.0625658393549</v>
      </c>
      <c r="H26">
        <v>1.036201937863523</v>
      </c>
      <c r="I26">
        <v>1.605654550790957</v>
      </c>
      <c r="J26">
        <v>0.95734668777074639</v>
      </c>
      <c r="K26">
        <v>0.93352138097979642</v>
      </c>
      <c r="L26">
        <v>0.84319014963087136</v>
      </c>
      <c r="M26">
        <v>1.0085213410303979</v>
      </c>
      <c r="N26">
        <v>1.843622808721936</v>
      </c>
      <c r="O26">
        <v>0.63933276828820218</v>
      </c>
    </row>
    <row r="27" spans="1:28" x14ac:dyDescent="0.15">
      <c r="A27" s="1" t="s">
        <v>39</v>
      </c>
      <c r="B27">
        <v>2.1676814563965081</v>
      </c>
      <c r="C27">
        <v>2.0711172628125998</v>
      </c>
      <c r="D27">
        <v>1.8791158137113431</v>
      </c>
      <c r="E27">
        <v>0.802676753169144</v>
      </c>
      <c r="F27">
        <v>1.5544024591429131</v>
      </c>
      <c r="G27">
        <v>1.5318343967243711</v>
      </c>
      <c r="H27">
        <v>0.78669083327638623</v>
      </c>
      <c r="I27">
        <v>1.516867758010749</v>
      </c>
      <c r="J27">
        <v>0.87663297933061402</v>
      </c>
      <c r="K27">
        <v>1.113201472372749</v>
      </c>
      <c r="L27">
        <v>1.385519808704027</v>
      </c>
      <c r="M27">
        <v>1.1365042547987041</v>
      </c>
      <c r="N27">
        <v>1.58244322956908</v>
      </c>
      <c r="O27">
        <v>0.84180735809215335</v>
      </c>
    </row>
    <row r="28" spans="1:28" x14ac:dyDescent="0.15">
      <c r="A28" s="1" t="s">
        <v>40</v>
      </c>
      <c r="B28">
        <v>1.501265239572281</v>
      </c>
      <c r="C28">
        <v>1.5274883693411501</v>
      </c>
      <c r="D28">
        <v>1.5911563461236291</v>
      </c>
      <c r="E28">
        <v>0.81348141160899445</v>
      </c>
      <c r="F28">
        <v>1.27290835162689</v>
      </c>
      <c r="G28">
        <v>1.059229060156641</v>
      </c>
      <c r="H28">
        <v>0.84350023000675256</v>
      </c>
      <c r="I28">
        <v>1.6462566191926129</v>
      </c>
      <c r="J28">
        <v>0.57830811863365239</v>
      </c>
      <c r="K28">
        <v>1.108044843069196</v>
      </c>
      <c r="L28">
        <v>1.536928315776986</v>
      </c>
      <c r="M28">
        <v>0.90775388158241976</v>
      </c>
      <c r="N28">
        <v>1.309037631573595</v>
      </c>
      <c r="O28">
        <v>0.68886506098043998</v>
      </c>
      <c r="R28" t="s">
        <v>53</v>
      </c>
    </row>
    <row r="29" spans="1:28" x14ac:dyDescent="0.15">
      <c r="A29" s="1" t="s">
        <v>41</v>
      </c>
      <c r="B29">
        <v>2.4416340832985259</v>
      </c>
      <c r="C29">
        <v>1.7459105137302819</v>
      </c>
      <c r="D29">
        <v>1.9111879627342261</v>
      </c>
      <c r="E29">
        <v>0.97498646593238592</v>
      </c>
      <c r="F29">
        <v>1.367762403985703</v>
      </c>
      <c r="G29">
        <v>1.125159175347662</v>
      </c>
      <c r="H29">
        <v>0.98910420111064157</v>
      </c>
      <c r="I29">
        <v>1.4712709430341211</v>
      </c>
      <c r="J29">
        <v>0.77004101052424179</v>
      </c>
      <c r="K29">
        <v>0.99393139891445803</v>
      </c>
      <c r="L29">
        <v>0.89777394227662599</v>
      </c>
      <c r="M29">
        <v>1.2810427669141711</v>
      </c>
      <c r="N29">
        <v>1.306534421711911</v>
      </c>
      <c r="O29">
        <v>0.67260053839422407</v>
      </c>
      <c r="S29" t="s">
        <v>64</v>
      </c>
      <c r="T29" t="s">
        <v>60</v>
      </c>
      <c r="U29" t="s">
        <v>65</v>
      </c>
      <c r="V29" t="s">
        <v>61</v>
      </c>
    </row>
    <row r="30" spans="1:28" x14ac:dyDescent="0.15">
      <c r="A30" s="1" t="s">
        <v>42</v>
      </c>
      <c r="B30">
        <v>2.3686367701675159</v>
      </c>
      <c r="C30">
        <v>1.4652532644425129</v>
      </c>
      <c r="D30">
        <v>1.151956417264846</v>
      </c>
      <c r="E30">
        <v>0.88462320807870898</v>
      </c>
      <c r="F30">
        <v>0.66077511257110266</v>
      </c>
      <c r="G30">
        <v>1.809955238765012</v>
      </c>
      <c r="H30">
        <v>0.69396508831374626</v>
      </c>
      <c r="I30">
        <v>1.2514913706955519</v>
      </c>
      <c r="J30">
        <v>0.3993714908847022</v>
      </c>
      <c r="K30">
        <v>0.64517634639275145</v>
      </c>
      <c r="L30">
        <v>0.91349043435703547</v>
      </c>
      <c r="M30">
        <v>1.1579091811793181</v>
      </c>
      <c r="N30">
        <v>1.082668144192487</v>
      </c>
      <c r="O30">
        <v>0.70747226853404832</v>
      </c>
      <c r="Q30" t="s">
        <v>54</v>
      </c>
      <c r="R30" t="s">
        <v>113</v>
      </c>
      <c r="T30" s="12">
        <f>AVERAGE(B30:B31,I30,K31,M22:M23,)</f>
        <v>1.336091205809592</v>
      </c>
      <c r="U30" s="12">
        <f>AVERAGE(I21)</f>
        <v>1.216366741004469</v>
      </c>
      <c r="V30" s="12">
        <f>AVERAGE(B30,K30,)</f>
        <v>1.0046043721867559</v>
      </c>
      <c r="X30" t="s">
        <v>106</v>
      </c>
      <c r="Z30" s="12">
        <f>_xlfn.STDEV.P($B$30:$B$31,$I$30,$K$31,$M$22:$M$23,)</f>
        <v>0.7168102235317706</v>
      </c>
      <c r="AA30" s="12">
        <f>_xlfn.STDEV.P($I$21)</f>
        <v>0</v>
      </c>
      <c r="AB30" s="12">
        <f>_xlfn.STDEV.P($B$30,$K$30,)</f>
        <v>0.99983379170141129</v>
      </c>
    </row>
    <row r="31" spans="1:28" x14ac:dyDescent="0.15">
      <c r="A31" s="1" t="s">
        <v>43</v>
      </c>
      <c r="B31">
        <v>2.0313770200266981</v>
      </c>
      <c r="C31">
        <v>1.5257150620976081</v>
      </c>
      <c r="D31">
        <v>1.2359493746708821</v>
      </c>
      <c r="E31">
        <v>0.72908499072068744</v>
      </c>
      <c r="F31">
        <v>0.61491079192995923</v>
      </c>
      <c r="G31">
        <v>1.4898278234237581</v>
      </c>
      <c r="H31">
        <v>0.55488058592974521</v>
      </c>
      <c r="I31">
        <v>1.7573393481119119</v>
      </c>
      <c r="J31">
        <v>0.48045393623785182</v>
      </c>
      <c r="K31">
        <v>0.86729088667494258</v>
      </c>
      <c r="L31">
        <v>0.69868015477171053</v>
      </c>
      <c r="M31">
        <v>1.3935238531290479</v>
      </c>
      <c r="N31">
        <v>0.80061889459735058</v>
      </c>
      <c r="O31">
        <v>0.3655624936256911</v>
      </c>
      <c r="Q31" t="s">
        <v>55</v>
      </c>
      <c r="R31" t="s">
        <v>114</v>
      </c>
      <c r="S31" s="12">
        <f>AVERAGE(B17,B21,D21)</f>
        <v>1.5050895724635127</v>
      </c>
      <c r="T31" s="12">
        <f>AVERAGE(B26,B28:B29,D22:D24,D26,D28,C30:D31,E31,I26,I28,I31,K30,M30:M31,M24,O31,M25,M28,M26:M27,)</f>
        <v>1.2732191730806159</v>
      </c>
      <c r="U31" s="12">
        <f>AVERAGE(B20,D21:E21,K21,)</f>
        <v>0.85496873883169489</v>
      </c>
      <c r="V31" s="12">
        <f>AVERAGE(B28,B31,C30:E30,C31,H31:I31,I30,K29,K31,M24:M27,N30:O30,)</f>
        <v>1.1508753046418974</v>
      </c>
      <c r="X31" t="s">
        <v>107</v>
      </c>
      <c r="Y31" s="12">
        <f>_xlfn.STDEV.P($B$17,$B$21,$D$21)</f>
        <v>0.56227314289781716</v>
      </c>
      <c r="Z31" s="12">
        <f>_xlfn.STDEV.P($B$26,$B$28:$B$29,$D$22:$D$24,$D$26,$D$28,$C$30:$D$31,$E$31,$I$26,$I$28,$I$31,$K$30,$M$30:$M$31,$M$24,$O$31,$M$25,$M$28,$M$26:$M$27,)</f>
        <v>0.48593397418473422</v>
      </c>
      <c r="AA31" s="12">
        <f>_xlfn.STDEV.P($B$20,$D$21:$E$21,$K$21,)</f>
        <v>0.48075017876823506</v>
      </c>
      <c r="AB31" s="12">
        <f>_xlfn.STDEV.P($B$28,$B$31,$C$30:$E$30,$C$31,$H$31:$I$31,$I$30,$K$29,$K$31,$M$24:$M$27,$N$30:$O$30,)</f>
        <v>0.45528855776468752</v>
      </c>
    </row>
    <row r="32" spans="1:28" x14ac:dyDescent="0.15">
      <c r="Q32" t="s">
        <v>57</v>
      </c>
      <c r="R32" t="s">
        <v>115</v>
      </c>
      <c r="S32" s="12">
        <f>AVERAGE(B19:B20,D20,D18,E21,I21,K21,)</f>
        <v>1.1724875556116092</v>
      </c>
      <c r="T32" s="12">
        <f>AVERAGE(B22:B25,C22,C28:C29,D25,D27,D29,H22:I22,I24,I27,N28,K28:L28,K29,M29,,H28,I29,H30:H31,K22:K23,L30:L31,N30:N31,O30,)</f>
        <v>1.3905952826208967</v>
      </c>
      <c r="U32" s="12">
        <f>AVERAGE(B18:B19,B21,D17,E20,F21,I19:I20,K19:K20,)</f>
        <v>1.4788221826692267</v>
      </c>
      <c r="V32" s="12">
        <f>AVERAGE(B24:B25,B27,B29,C28:C29,D24:D26,D31:F31,F30,F26,H27,H29:H30,I25:I29,K22:K23,K27:K28,L24,L26:L28,L30:L31,M28:M31,N22,N25:N26,N28,N31:O31,)</f>
        <v>1.3242302424381422</v>
      </c>
      <c r="X32" t="s">
        <v>108</v>
      </c>
      <c r="Y32" s="12">
        <f>_xlfn.STDEV.P($B$19:$B$20,$D$20,$D$18,$E$21,$I$21,$K$21,)</f>
        <v>0.56172917845395709</v>
      </c>
      <c r="Z32" s="12">
        <f>_xlfn.STDEV.P($B$22:$B$25,$C$22,$C$28:$C$29,$D$25,$D$27,$D$29,$H$22:$I$22,$I$24,$I$27,$N$28,$K$28:$L$28,$K$29,$M$29,$H$28,$I$29,$H$30:$H$31,$K$22:$K$23,$L$30:$L$31,$N$30:$N$31,$O$30,)</f>
        <v>0.63296831068209714</v>
      </c>
      <c r="AA32" s="12">
        <f>_xlfn.STDEV.P($B$18:$B$19,$B$21,$D$17,$E$20,$F$21,$I$19:$I$20,$K$19:$K$20,)</f>
        <v>0.57211752874642585</v>
      </c>
      <c r="AB32" s="12">
        <f>_xlfn.STDEV.P($B$24:$B$25,$B$27,$B$29,$C$28:$C$29,$D$24:$D$26,$D$31:$F$31,$F$30,$F$26,$H$27,$H$29:$H$30,$I$25:$I$29,$K$22:$K$23,$K$27:$K$28,$L$24,$L$26:$L$28,$L$30:$L$31,$M$28:$M$31,$N$22,$N$25:$N$26,$N$28,$N$31:$O$31,)</f>
        <v>0.52767606316920235</v>
      </c>
    </row>
    <row r="33" spans="1:28" x14ac:dyDescent="0.15">
      <c r="A33" s="2" t="s">
        <v>44</v>
      </c>
      <c r="Q33" t="s">
        <v>56</v>
      </c>
      <c r="R33" t="s">
        <v>116</v>
      </c>
      <c r="S33" s="12">
        <f>AVERAGE(D17,B18,C21,D19,E19:E20,F20:F21,I20,N17:N21,L20:M21,O21,)</f>
        <v>1.6648107339032983</v>
      </c>
      <c r="T33" s="12">
        <f>AVERAGE(B27,C23:C27,E22,E26,E28,E30,F22:F30,G22:G24,F31,G26,G28,G30:G31,H23:H24,H27,H29,I23,I25,K24:K27,L22:L27,L29,N22:N27,O22:O29,N29)</f>
        <v>1.3452624561026549</v>
      </c>
      <c r="U33" s="12">
        <f>AVERAGE(C21,D19:D20,F19:F20,G21:H21,I17:J17,N17,L19:N21,O20:O21,)</f>
        <v>1.6738923020595387</v>
      </c>
      <c r="V33" s="12">
        <f>AVERAGE(B22:B23,B26,C22:C27,D22,D27,D29,F22:F25,F27:F29,G22,G26:H26,G28:G31,H28,H22:H23,I22:I24,J31,K24:K26,L25,L29,L22:M23,N23:N24,O22:O25,N27:O27,O28:O29,N29,)</f>
        <v>1.4290336023369752</v>
      </c>
      <c r="X33" t="s">
        <v>109</v>
      </c>
      <c r="Y33" s="12">
        <f>_xlfn.STDEV.P($D$17,$B$18,$C$21,$D$19,$E$19:$E$20,$F$20:$F$21,$I$20,$N$17:$N$21,$L$20:$M$21,$O$21,)</f>
        <v>0.70518295715949153</v>
      </c>
      <c r="Z33" s="12">
        <f>_xlfn.STDEV.P($B$27,$C$23:$C$27,$E$22,$E$26,$E$28,$E$30,$F$22:$F$30,$G$22:$G$24,$F$31,$G$26,$G$28,$G$30:$G$31,$H$23:$H$24,$H$27,$H$29,$I$23,$I$25,$K$24:$K$27,$L$22:$L$27,$L$29,$N$22:$N$27,$O$22:$O$29,$N$29)</f>
        <v>0.46492418956286202</v>
      </c>
      <c r="AA33" s="12">
        <f>_xlfn.STDEV.P($C$21,$D$19:$D$20,$F$19:$F$20,$G$21:$H$21,$I$17:$J$17,$N$17,$L$19:$N$21,$O$20:$O$21,)</f>
        <v>0.6611598653294507</v>
      </c>
      <c r="AB33" s="12">
        <f>_xlfn.STDEV.P($B$22:$B$23,$B$26,$C$22:$C$27,$D$22,$D$27,$D$29,$F$22:$F$25,$F$27:$F$29,$G$22,$G$26:$H$26,$G$28:$G$31,$H$28,$H$22:$H$23,$I$22:$I$24,$J$31,$K$24:$K$26,$L$25,$L$29,$L$22:$M$23,$N$23:$N$24,$O$22:$O$25,$N$27:$O$27,$O$28:$O$29,$N$29,)</f>
        <v>0.54084226663462387</v>
      </c>
    </row>
    <row r="34" spans="1:28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117</v>
      </c>
      <c r="S34" s="12">
        <f>AVERAGE(C17:C20,E17:E18,F17:F19,G17:H21,I17:I19,J17:J21,K17:K20,L17:M19,O17:O20,)</f>
        <v>2.0482936711594011</v>
      </c>
      <c r="T34" s="12">
        <f>AVERAGE(E23:E25,E27,E29,G25,G27,G29,H25:H26,J22:J31)</f>
        <v>1.0288207917595102</v>
      </c>
      <c r="U34" s="12">
        <f>AVERAGE(B17:C17,C18:C20,D18:H18,E17:H17,E19,G19:H20,I18,J18:J21,K17:M18,N18,O17:O19,)</f>
        <v>2.132452369691713</v>
      </c>
      <c r="V34" s="12">
        <f>AVERAGE(D23,D28,E22:E29,G23:G25,G27,H24:H25,J22:J30,O26,)</f>
        <v>1.0764075251380558</v>
      </c>
      <c r="X34" t="s">
        <v>110</v>
      </c>
      <c r="Y34" s="12">
        <f>_xlfn.STDEV.P($C$17:$C$20,$E$17:$E$18,$F$17:$F$19,$G$17:$H$21,$I$17:$I$19,$J$17:$J$21,$K$17:$K$20,$L$17:$M$19,$O$17:$O$20,)</f>
        <v>0.57889215436379982</v>
      </c>
      <c r="Z34" s="12">
        <f>_xlfn.STDEV.P($E$23:$E$25,$E$27,$E$29,$G$25,$G$27,$G$29,$H$25:$H$26,$J$22:$J$31)</f>
        <v>0.36958537321492413</v>
      </c>
      <c r="AA34" s="12">
        <f>_xlfn.STDEV.P($B$17:$C$17,$C$18:$C$20,$D$18:$H$18,$E$17:$H$17,$E$19,$G$19:$H$20,$I$18,$J$18:$J$21,$K$17:$M$18,$N$18,$O$17:$O$19,)</f>
        <v>0.5992187244845345</v>
      </c>
      <c r="AB34" s="12">
        <f>_xlfn.STDEV.P($D$23,$D$28,$E$22:$E$29,$G$23:$G$25,$G$27,$H$24:$H$25,$J$22:$J$30,$O$26,)</f>
        <v>0.4624593999953539</v>
      </c>
    </row>
    <row r="35" spans="1:28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8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8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8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8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8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8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8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8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46</v>
      </c>
    </row>
    <row r="44" spans="1:28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CORREL(B2:O16,B35:O49)</f>
        <v>0.22403678158713786</v>
      </c>
    </row>
    <row r="45" spans="1:28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8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47</v>
      </c>
    </row>
    <row r="47" spans="1:28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CORREL(B17:O31,B50:O64)</f>
        <v>0.23236164020953864</v>
      </c>
    </row>
    <row r="48" spans="1:28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6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6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  <c r="P50" s="3"/>
    </row>
    <row r="51" spans="1:16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6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6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6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6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6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6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6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6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6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6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6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6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6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7" x14ac:dyDescent="0.15">
      <c r="A65" s="2" t="s">
        <v>46</v>
      </c>
      <c r="B65">
        <f t="shared" ref="B65:O65" si="4">CORREL(B2:B16,B35:B49)</f>
        <v>-0.60712501498676452</v>
      </c>
      <c r="C65">
        <f t="shared" si="4"/>
        <v>0.75235056326451477</v>
      </c>
      <c r="D65">
        <f t="shared" si="4"/>
        <v>-2.079238740486599E-2</v>
      </c>
      <c r="E65">
        <f t="shared" si="4"/>
        <v>0.70529946078505268</v>
      </c>
      <c r="F65">
        <f t="shared" si="4"/>
        <v>0.7936880914643043</v>
      </c>
      <c r="G65">
        <f t="shared" si="4"/>
        <v>0.34881818429685324</v>
      </c>
      <c r="H65">
        <f t="shared" si="4"/>
        <v>0.88809804267684456</v>
      </c>
      <c r="I65">
        <f t="shared" si="4"/>
        <v>0.48665550586783618</v>
      </c>
      <c r="J65">
        <f t="shared" si="4"/>
        <v>0.46105238041401314</v>
      </c>
      <c r="K65">
        <f t="shared" si="4"/>
        <v>0.78916994308954247</v>
      </c>
      <c r="L65">
        <f t="shared" si="4"/>
        <v>0.51937087467278664</v>
      </c>
      <c r="M65">
        <f t="shared" si="4"/>
        <v>0.45622446073516115</v>
      </c>
      <c r="N65">
        <f t="shared" si="4"/>
        <v>0.6959667672417662</v>
      </c>
      <c r="O65">
        <f t="shared" si="4"/>
        <v>0.76377676494357327</v>
      </c>
    </row>
    <row r="66" spans="1:17" x14ac:dyDescent="0.15">
      <c r="A66" s="2" t="s">
        <v>47</v>
      </c>
      <c r="B66">
        <f t="shared" ref="B66:O66" si="5">CORREL(B17:B31,B50:B64)</f>
        <v>9.2820405210262427E-2</v>
      </c>
      <c r="C66">
        <f t="shared" si="5"/>
        <v>0.86322673284476215</v>
      </c>
      <c r="D66">
        <f t="shared" si="5"/>
        <v>0.76767760679758923</v>
      </c>
      <c r="E66">
        <f t="shared" si="5"/>
        <v>0.44807289101700593</v>
      </c>
      <c r="F66">
        <f t="shared" si="5"/>
        <v>0.80499899097275973</v>
      </c>
      <c r="G66">
        <f t="shared" si="5"/>
        <v>0.47709949609918956</v>
      </c>
      <c r="H66">
        <f t="shared" si="5"/>
        <v>0.78926285269672458</v>
      </c>
      <c r="I66">
        <f t="shared" si="5"/>
        <v>0.52433113241800233</v>
      </c>
      <c r="J66">
        <f t="shared" si="5"/>
        <v>-0.16561242369896706</v>
      </c>
      <c r="K66">
        <f t="shared" si="5"/>
        <v>0.76331103093729313</v>
      </c>
      <c r="L66">
        <f t="shared" si="5"/>
        <v>0.75095828895829575</v>
      </c>
      <c r="M66">
        <f t="shared" si="5"/>
        <v>0.81156560565388614</v>
      </c>
      <c r="N66">
        <f t="shared" si="5"/>
        <v>0.84924748615637558</v>
      </c>
      <c r="O66">
        <f t="shared" si="5"/>
        <v>0.75158427382098614</v>
      </c>
    </row>
    <row r="67" spans="1:17" x14ac:dyDescent="0.15">
      <c r="A67" s="2"/>
    </row>
    <row r="69" spans="1:17" x14ac:dyDescent="0.15">
      <c r="A69" s="2" t="s">
        <v>45</v>
      </c>
    </row>
    <row r="70" spans="1:17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7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7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7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7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7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7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7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7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  <c r="Q78" t="s">
        <v>46</v>
      </c>
    </row>
    <row r="79" spans="1:17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  <c r="Q79">
        <f>CORREL(B2:O16,B71:O85)</f>
        <v>0.27962024295566434</v>
      </c>
    </row>
    <row r="80" spans="1:17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7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  <c r="Q81" t="s">
        <v>47</v>
      </c>
    </row>
    <row r="82" spans="1:17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  <c r="Q82">
        <f>CORREL(B17:O31,B86:O100)</f>
        <v>0.27963219707386583</v>
      </c>
    </row>
    <row r="83" spans="1:17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7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7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7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7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7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7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7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7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7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7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7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7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7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6">CORREL(B2:B16,B71:B85)</f>
        <v>-0.3603419780859401</v>
      </c>
      <c r="C101">
        <f t="shared" si="6"/>
        <v>0.69832485218509244</v>
      </c>
      <c r="D101">
        <f t="shared" si="6"/>
        <v>3.9072137768569749E-2</v>
      </c>
      <c r="E101">
        <f t="shared" si="6"/>
        <v>0.77826781601539163</v>
      </c>
      <c r="F101">
        <f t="shared" si="6"/>
        <v>0.85263219572911786</v>
      </c>
      <c r="G101">
        <f t="shared" si="6"/>
        <v>0.2686823062706708</v>
      </c>
      <c r="H101">
        <f t="shared" si="6"/>
        <v>0.95287832424434371</v>
      </c>
      <c r="I101">
        <f t="shared" si="6"/>
        <v>0.34043520113840481</v>
      </c>
      <c r="J101">
        <f t="shared" si="6"/>
        <v>0.58334845820201875</v>
      </c>
      <c r="K101">
        <f t="shared" si="6"/>
        <v>0.79990490012703686</v>
      </c>
      <c r="L101">
        <f t="shared" si="6"/>
        <v>0.72910194911182502</v>
      </c>
      <c r="M101">
        <f t="shared" si="6"/>
        <v>0.71166660459431064</v>
      </c>
      <c r="N101">
        <f t="shared" si="6"/>
        <v>0.38908237061605933</v>
      </c>
      <c r="O101">
        <f t="shared" si="6"/>
        <v>0.81057998322855196</v>
      </c>
    </row>
    <row r="102" spans="1:15" x14ac:dyDescent="0.15">
      <c r="A102" s="4" t="s">
        <v>47</v>
      </c>
      <c r="B102">
        <f t="shared" ref="B102:O102" si="7">CORREL(B50:B64,B86:B100)</f>
        <v>0.49076285018167559</v>
      </c>
      <c r="C102">
        <f t="shared" si="7"/>
        <v>0.93039497166541207</v>
      </c>
      <c r="D102">
        <f t="shared" si="7"/>
        <v>0.21283800174212827</v>
      </c>
      <c r="E102">
        <f t="shared" si="7"/>
        <v>0.60779881578965012</v>
      </c>
      <c r="F102">
        <f t="shared" si="7"/>
        <v>0.85403809305722755</v>
      </c>
      <c r="G102">
        <f t="shared" si="7"/>
        <v>0.81314037270029305</v>
      </c>
      <c r="H102">
        <f t="shared" si="7"/>
        <v>0.8835086722015526</v>
      </c>
      <c r="I102">
        <f t="shared" si="7"/>
        <v>0.70528727206928143</v>
      </c>
      <c r="J102">
        <f t="shared" si="7"/>
        <v>0.22876147129340274</v>
      </c>
      <c r="K102">
        <f t="shared" si="7"/>
        <v>0.66719860802097231</v>
      </c>
      <c r="L102">
        <f t="shared" si="7"/>
        <v>0.83676119973999574</v>
      </c>
      <c r="M102">
        <f t="shared" si="7"/>
        <v>0.70241057693068665</v>
      </c>
      <c r="N102">
        <f t="shared" si="7"/>
        <v>0.81954603988674635</v>
      </c>
      <c r="O102">
        <f t="shared" si="7"/>
        <v>0.9173480683188231</v>
      </c>
    </row>
  </sheetData>
  <phoneticPr fontId="2"/>
  <conditionalFormatting sqref="B2:O31">
    <cfRule type="expression" dxfId="9" priority="1">
      <formula>B71&gt;=81</formula>
    </cfRule>
    <cfRule type="expression" dxfId="8" priority="2">
      <formula>AND(B71&gt;=61,B71&lt;=80)</formula>
    </cfRule>
    <cfRule type="expression" dxfId="7" priority="3">
      <formula>AND(B71&gt;=41,B71&lt;=60)</formula>
    </cfRule>
    <cfRule type="expression" dxfId="6" priority="4">
      <formula>AND(B71&gt;=21,B71&lt;=40)</formula>
    </cfRule>
    <cfRule type="expression" dxfId="5" priority="5">
      <formula>B71&lt;=20</formula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5E3A2-A802-461D-AE5E-BEE1045A5BF6}">
  <dimension ref="A1:EK102"/>
  <sheetViews>
    <sheetView topLeftCell="X25" zoomScaleNormal="100" workbookViewId="0">
      <selection activeCell="AL35" sqref="AL35:AN47"/>
    </sheetView>
  </sheetViews>
  <sheetFormatPr defaultRowHeight="13.5" x14ac:dyDescent="0.15"/>
  <cols>
    <col min="20" max="20" width="12.75" bestFit="1" customWidth="1"/>
    <col min="22" max="22" width="12.75" bestFit="1" customWidth="1"/>
    <col min="24" max="24" width="12.75" bestFit="1" customWidth="1"/>
  </cols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2.2090866589085398</v>
      </c>
      <c r="C2" s="6">
        <v>2.9103141440452518</v>
      </c>
      <c r="D2" s="6">
        <v>2.057943394997408</v>
      </c>
      <c r="E2" s="6">
        <v>2.3602016200898182</v>
      </c>
      <c r="F2" s="6">
        <v>2.5700620501836569</v>
      </c>
      <c r="G2" s="6">
        <v>2.2139501712569789</v>
      </c>
      <c r="H2" s="6">
        <v>2.6027247128954949</v>
      </c>
      <c r="I2" s="6">
        <v>2.331183329634591</v>
      </c>
      <c r="J2" s="6">
        <v>2.2486868630633041</v>
      </c>
      <c r="K2" s="6">
        <v>2.5409616087815952</v>
      </c>
      <c r="L2" s="6">
        <v>2.4738571290399509</v>
      </c>
      <c r="M2" s="6">
        <v>2.6227515768247951</v>
      </c>
      <c r="N2" s="6">
        <v>2.7272893242169651</v>
      </c>
      <c r="O2" s="6">
        <v>2.6307924213845419</v>
      </c>
      <c r="P2">
        <f t="shared" ref="P2:AC2" si="0">B3</f>
        <v>2.309062324530454</v>
      </c>
      <c r="Q2">
        <f t="shared" si="0"/>
        <v>2.9507221222392901</v>
      </c>
      <c r="R2">
        <f t="shared" si="0"/>
        <v>2.2363377546868999</v>
      </c>
      <c r="S2">
        <f t="shared" si="0"/>
        <v>2.7645440630805811</v>
      </c>
      <c r="T2">
        <f t="shared" si="0"/>
        <v>2.7444096489284728</v>
      </c>
      <c r="U2">
        <f t="shared" si="0"/>
        <v>2.430545371605036</v>
      </c>
      <c r="V2">
        <f t="shared" si="0"/>
        <v>2.5650761412882699</v>
      </c>
      <c r="W2">
        <f t="shared" si="0"/>
        <v>2.85871727983477</v>
      </c>
      <c r="X2">
        <f t="shared" si="0"/>
        <v>2.2695045324059899</v>
      </c>
      <c r="Y2">
        <f t="shared" si="0"/>
        <v>3.0192515432967069</v>
      </c>
      <c r="Z2">
        <f t="shared" si="0"/>
        <v>2.2128198556485019</v>
      </c>
      <c r="AA2">
        <f t="shared" si="0"/>
        <v>2.888987542127937</v>
      </c>
      <c r="AB2">
        <f t="shared" si="0"/>
        <v>2.9906195108535911</v>
      </c>
      <c r="AC2">
        <f t="shared" si="0"/>
        <v>2.6363335948534901</v>
      </c>
      <c r="AD2">
        <f t="shared" ref="AD2:AQ2" si="1">B4</f>
        <v>2.2178429326595692</v>
      </c>
      <c r="AE2">
        <f t="shared" si="1"/>
        <v>3.0725744788388032</v>
      </c>
      <c r="AF2">
        <f t="shared" si="1"/>
        <v>2.0740033931802748</v>
      </c>
      <c r="AG2">
        <f t="shared" si="1"/>
        <v>3.0406153184372</v>
      </c>
      <c r="AH2">
        <f t="shared" si="1"/>
        <v>2.4548519344830719</v>
      </c>
      <c r="AI2">
        <f t="shared" si="1"/>
        <v>2.4816682827036778</v>
      </c>
      <c r="AJ2">
        <f t="shared" si="1"/>
        <v>2.4047041122928041</v>
      </c>
      <c r="AK2">
        <f t="shared" si="1"/>
        <v>2.8592236149463099</v>
      </c>
      <c r="AL2">
        <f t="shared" si="1"/>
        <v>2.343281705508919</v>
      </c>
      <c r="AM2">
        <f t="shared" si="1"/>
        <v>3.2328645018206288</v>
      </c>
      <c r="AN2">
        <f t="shared" si="1"/>
        <v>2.3059960087308502</v>
      </c>
      <c r="AO2">
        <f t="shared" si="1"/>
        <v>2.7701324414602482</v>
      </c>
      <c r="AP2">
        <f t="shared" si="1"/>
        <v>2.6444353578190398</v>
      </c>
      <c r="AQ2">
        <f t="shared" si="1"/>
        <v>2.627252796812948</v>
      </c>
      <c r="AR2">
        <f t="shared" ref="AR2:BE2" si="2">B5</f>
        <v>2.3618729627616988</v>
      </c>
      <c r="AS2">
        <f t="shared" si="2"/>
        <v>2.480672658879215</v>
      </c>
      <c r="AT2">
        <f t="shared" si="2"/>
        <v>2.0063517962980129</v>
      </c>
      <c r="AU2">
        <f t="shared" si="2"/>
        <v>2.6238803835027902</v>
      </c>
      <c r="AV2">
        <f t="shared" si="2"/>
        <v>2.6956652062538442</v>
      </c>
      <c r="AW2">
        <f t="shared" si="2"/>
        <v>2.7538329540576529</v>
      </c>
      <c r="AX2">
        <f t="shared" si="2"/>
        <v>2.4363131073120639</v>
      </c>
      <c r="AY2">
        <f t="shared" si="2"/>
        <v>2.6962256617726479</v>
      </c>
      <c r="AZ2">
        <f t="shared" si="2"/>
        <v>2.3474302677304788</v>
      </c>
      <c r="BA2">
        <f t="shared" si="2"/>
        <v>3.1462617370848491</v>
      </c>
      <c r="BB2">
        <f t="shared" si="2"/>
        <v>2.306767253816425</v>
      </c>
      <c r="BC2">
        <f t="shared" si="2"/>
        <v>2.3789547886313058</v>
      </c>
      <c r="BD2">
        <f t="shared" si="2"/>
        <v>2.6548732964699919</v>
      </c>
      <c r="BE2">
        <f t="shared" si="2"/>
        <v>2.5639166347214162</v>
      </c>
      <c r="BF2">
        <f t="shared" ref="BF2:BS2" si="3">B6</f>
        <v>2.4513865422126231</v>
      </c>
      <c r="BG2">
        <f t="shared" si="3"/>
        <v>2.7744274688721151</v>
      </c>
      <c r="BH2">
        <f t="shared" si="3"/>
        <v>1.9392204376715869</v>
      </c>
      <c r="BI2">
        <f t="shared" si="3"/>
        <v>2.7522061198118442</v>
      </c>
      <c r="BJ2">
        <f t="shared" si="3"/>
        <v>2.6972053496626001</v>
      </c>
      <c r="BK2">
        <f t="shared" si="3"/>
        <v>2.5733744089170609</v>
      </c>
      <c r="BL2">
        <f t="shared" si="3"/>
        <v>2.5596109653792731</v>
      </c>
      <c r="BM2">
        <f t="shared" si="3"/>
        <v>2.5048829079606261</v>
      </c>
      <c r="BN2">
        <f t="shared" si="3"/>
        <v>2.2564388035130269</v>
      </c>
      <c r="BO2">
        <f t="shared" si="3"/>
        <v>3.2348868143147009</v>
      </c>
      <c r="BP2">
        <f t="shared" si="3"/>
        <v>2.381077046449168</v>
      </c>
      <c r="BQ2">
        <f t="shared" si="3"/>
        <v>2.606168130057315</v>
      </c>
      <c r="BR2">
        <f t="shared" si="3"/>
        <v>2.7740258163502061</v>
      </c>
      <c r="BS2">
        <f t="shared" si="3"/>
        <v>2.6030295522539699</v>
      </c>
    </row>
    <row r="3" spans="1:141" x14ac:dyDescent="0.15">
      <c r="A3" s="1" t="s">
        <v>15</v>
      </c>
      <c r="B3" s="7">
        <v>2.309062324530454</v>
      </c>
      <c r="C3">
        <v>2.9507221222392901</v>
      </c>
      <c r="D3">
        <v>2.2363377546868999</v>
      </c>
      <c r="E3">
        <v>2.7645440630805811</v>
      </c>
      <c r="F3">
        <v>2.7444096489284728</v>
      </c>
      <c r="G3">
        <v>2.430545371605036</v>
      </c>
      <c r="H3">
        <v>2.5650761412882699</v>
      </c>
      <c r="I3">
        <v>2.85871727983477</v>
      </c>
      <c r="J3">
        <v>2.2695045324059899</v>
      </c>
      <c r="K3">
        <v>3.0192515432967069</v>
      </c>
      <c r="L3">
        <v>2.2128198556485019</v>
      </c>
      <c r="M3">
        <v>2.888987542127937</v>
      </c>
      <c r="N3">
        <v>2.9906195108535911</v>
      </c>
      <c r="O3">
        <v>2.6363335948534901</v>
      </c>
    </row>
    <row r="4" spans="1:141" x14ac:dyDescent="0.15">
      <c r="A4" s="1" t="s">
        <v>16</v>
      </c>
      <c r="B4" s="7">
        <v>2.2178429326595692</v>
      </c>
      <c r="C4">
        <v>3.0725744788388032</v>
      </c>
      <c r="D4">
        <v>2.0740033931802748</v>
      </c>
      <c r="E4">
        <v>3.0406153184372</v>
      </c>
      <c r="F4">
        <v>2.4548519344830719</v>
      </c>
      <c r="G4">
        <v>2.4816682827036778</v>
      </c>
      <c r="H4">
        <v>2.4047041122928041</v>
      </c>
      <c r="I4">
        <v>2.8592236149463099</v>
      </c>
      <c r="J4">
        <v>2.343281705508919</v>
      </c>
      <c r="K4">
        <v>3.2328645018206288</v>
      </c>
      <c r="L4">
        <v>2.3059960087308502</v>
      </c>
      <c r="M4">
        <v>2.7701324414602482</v>
      </c>
      <c r="N4">
        <v>2.6444353578190398</v>
      </c>
      <c r="O4">
        <v>2.627252796812948</v>
      </c>
    </row>
    <row r="5" spans="1:141" x14ac:dyDescent="0.15">
      <c r="A5" s="1" t="s">
        <v>17</v>
      </c>
      <c r="B5" s="7">
        <v>2.3618729627616988</v>
      </c>
      <c r="C5">
        <v>2.480672658879215</v>
      </c>
      <c r="D5">
        <v>2.0063517962980129</v>
      </c>
      <c r="E5">
        <v>2.6238803835027902</v>
      </c>
      <c r="F5">
        <v>2.6956652062538442</v>
      </c>
      <c r="G5">
        <v>2.7538329540576529</v>
      </c>
      <c r="H5">
        <v>2.4363131073120639</v>
      </c>
      <c r="I5">
        <v>2.6962256617726479</v>
      </c>
      <c r="J5">
        <v>2.3474302677304788</v>
      </c>
      <c r="K5">
        <v>3.1462617370848491</v>
      </c>
      <c r="L5">
        <v>2.306767253816425</v>
      </c>
      <c r="M5">
        <v>2.3789547886313058</v>
      </c>
      <c r="N5">
        <v>2.6548732964699919</v>
      </c>
      <c r="O5">
        <v>2.5639166347214162</v>
      </c>
    </row>
    <row r="6" spans="1:141" ht="14.25" thickBot="1" x14ac:dyDescent="0.2">
      <c r="A6" s="1" t="s">
        <v>18</v>
      </c>
      <c r="B6" s="8">
        <v>2.4513865422126231</v>
      </c>
      <c r="C6" s="9">
        <v>2.7744274688721151</v>
      </c>
      <c r="D6" s="9">
        <v>1.9392204376715869</v>
      </c>
      <c r="E6" s="9">
        <v>2.7522061198118442</v>
      </c>
      <c r="F6" s="9">
        <v>2.6972053496626001</v>
      </c>
      <c r="G6" s="9">
        <v>2.5733744089170609</v>
      </c>
      <c r="H6" s="9">
        <v>2.5596109653792731</v>
      </c>
      <c r="I6" s="9">
        <v>2.5048829079606261</v>
      </c>
      <c r="J6" s="9">
        <v>2.2564388035130269</v>
      </c>
      <c r="K6" s="9">
        <v>3.2348868143147009</v>
      </c>
      <c r="L6" s="9">
        <v>2.381077046449168</v>
      </c>
      <c r="M6" s="9">
        <v>2.606168130057315</v>
      </c>
      <c r="N6" s="9">
        <v>2.7740258163502061</v>
      </c>
      <c r="O6" s="9">
        <v>2.6030295522539699</v>
      </c>
    </row>
    <row r="7" spans="1:141" x14ac:dyDescent="0.15">
      <c r="A7" s="1" t="s">
        <v>19</v>
      </c>
      <c r="B7" s="10">
        <v>2.951851077215399</v>
      </c>
      <c r="C7" s="11">
        <v>2.551666022971752</v>
      </c>
      <c r="D7" s="11">
        <v>2.3627459867374609</v>
      </c>
      <c r="E7" s="11">
        <v>2.0663697822163729</v>
      </c>
      <c r="F7" s="11">
        <v>1.645506999366237</v>
      </c>
      <c r="G7" s="11">
        <v>1.714456794254881</v>
      </c>
      <c r="H7" s="11">
        <v>1.6567026707074191</v>
      </c>
      <c r="I7" s="11">
        <v>2.1292473116469099</v>
      </c>
      <c r="J7" s="11">
        <v>1.667130259298498</v>
      </c>
      <c r="K7" s="11">
        <v>1.3998564536279181</v>
      </c>
      <c r="L7" s="11">
        <v>2.3138909078265191</v>
      </c>
      <c r="M7" s="11">
        <v>2.3678306045261381</v>
      </c>
      <c r="N7" s="11">
        <v>2.2887408596059191</v>
      </c>
      <c r="O7" s="11">
        <v>2.1456117133519101</v>
      </c>
      <c r="P7">
        <f t="shared" ref="P7:AC7" si="4">B8</f>
        <v>3.1357969673264501</v>
      </c>
      <c r="Q7">
        <f t="shared" si="4"/>
        <v>2.6297730679925801</v>
      </c>
      <c r="R7">
        <f t="shared" si="4"/>
        <v>1.8715742663949351</v>
      </c>
      <c r="S7">
        <f t="shared" si="4"/>
        <v>2.2790980744156908</v>
      </c>
      <c r="T7">
        <f t="shared" si="4"/>
        <v>1.9607051828774169</v>
      </c>
      <c r="U7">
        <f t="shared" si="4"/>
        <v>1.7234947911440319</v>
      </c>
      <c r="V7">
        <f t="shared" si="4"/>
        <v>1.873751989792124</v>
      </c>
      <c r="W7">
        <f t="shared" si="4"/>
        <v>2.0687224861208069</v>
      </c>
      <c r="X7">
        <f t="shared" si="4"/>
        <v>1.6556029839119211</v>
      </c>
      <c r="Y7">
        <f t="shared" si="4"/>
        <v>1.78230427833871</v>
      </c>
      <c r="Z7">
        <f t="shared" si="4"/>
        <v>2.5453838664362869</v>
      </c>
      <c r="AA7">
        <f t="shared" si="4"/>
        <v>2.6584915681764199</v>
      </c>
      <c r="AB7">
        <f t="shared" si="4"/>
        <v>2.2576866431301679</v>
      </c>
      <c r="AC7">
        <f t="shared" si="4"/>
        <v>2.4414847433469768</v>
      </c>
      <c r="AD7">
        <f t="shared" ref="AD7:AQ7" si="5">B9</f>
        <v>2.9550313666567569</v>
      </c>
      <c r="AE7">
        <f t="shared" si="5"/>
        <v>2.181548181401801</v>
      </c>
      <c r="AF7">
        <f t="shared" si="5"/>
        <v>1.797642944875619</v>
      </c>
      <c r="AG7">
        <f t="shared" si="5"/>
        <v>1.9449246742576609</v>
      </c>
      <c r="AH7">
        <f t="shared" si="5"/>
        <v>1.929949393446162</v>
      </c>
      <c r="AI7">
        <f t="shared" si="5"/>
        <v>1.874862817656842</v>
      </c>
      <c r="AJ7">
        <f t="shared" si="5"/>
        <v>1.402427221303532</v>
      </c>
      <c r="AK7">
        <f t="shared" si="5"/>
        <v>1.9440134089247769</v>
      </c>
      <c r="AL7">
        <f t="shared" si="5"/>
        <v>1.7039994483864369</v>
      </c>
      <c r="AM7">
        <f t="shared" si="5"/>
        <v>1.946556145714377</v>
      </c>
      <c r="AN7">
        <f t="shared" si="5"/>
        <v>2.472037688654952</v>
      </c>
      <c r="AO7">
        <f t="shared" si="5"/>
        <v>2.6151629615293071</v>
      </c>
      <c r="AP7">
        <f t="shared" si="5"/>
        <v>2.2841870296894018</v>
      </c>
      <c r="AQ7">
        <f t="shared" si="5"/>
        <v>2.244608078571865</v>
      </c>
      <c r="AR7">
        <f t="shared" ref="AR7:BE7" si="6">B10</f>
        <v>3.0022137965039248</v>
      </c>
      <c r="AS7">
        <f t="shared" si="6"/>
        <v>2.5939229199127261</v>
      </c>
      <c r="AT7">
        <f t="shared" si="6"/>
        <v>2.066990080126315</v>
      </c>
      <c r="AU7">
        <f t="shared" si="6"/>
        <v>2.314055323424995</v>
      </c>
      <c r="AV7">
        <f t="shared" si="6"/>
        <v>1.9690656540050619</v>
      </c>
      <c r="AW7">
        <f t="shared" si="6"/>
        <v>1.621942761041379</v>
      </c>
      <c r="AX7">
        <f t="shared" si="6"/>
        <v>1.4415884802066921</v>
      </c>
      <c r="AY7">
        <f t="shared" si="6"/>
        <v>2.3878486458348589</v>
      </c>
      <c r="AZ7">
        <f t="shared" si="6"/>
        <v>1.777543070178089</v>
      </c>
      <c r="BA7">
        <f t="shared" si="6"/>
        <v>1.705858354536451</v>
      </c>
      <c r="BB7">
        <f t="shared" si="6"/>
        <v>2.5220647735477462</v>
      </c>
      <c r="BC7">
        <f t="shared" si="6"/>
        <v>2.6429480538968848</v>
      </c>
      <c r="BD7">
        <f t="shared" si="6"/>
        <v>2.5311278084578261</v>
      </c>
      <c r="BE7">
        <f t="shared" si="6"/>
        <v>2.2308000206393692</v>
      </c>
      <c r="BF7">
        <f t="shared" ref="BF7:BS7" si="7">B11</f>
        <v>3.303412605913945</v>
      </c>
      <c r="BG7">
        <f t="shared" si="7"/>
        <v>2.2633596116075259</v>
      </c>
      <c r="BH7">
        <f t="shared" si="7"/>
        <v>1.8035405875996731</v>
      </c>
      <c r="BI7">
        <f t="shared" si="7"/>
        <v>2.2906712829440381</v>
      </c>
      <c r="BJ7">
        <f t="shared" si="7"/>
        <v>1.984726343942766</v>
      </c>
      <c r="BK7">
        <f t="shared" si="7"/>
        <v>1.941914950558165</v>
      </c>
      <c r="BL7">
        <f t="shared" si="7"/>
        <v>1.526316605243998</v>
      </c>
      <c r="BM7">
        <f t="shared" si="7"/>
        <v>1.991453687590045</v>
      </c>
      <c r="BN7">
        <f t="shared" si="7"/>
        <v>1.954182733569688</v>
      </c>
      <c r="BO7">
        <f t="shared" si="7"/>
        <v>1.6477440784389319</v>
      </c>
      <c r="BP7">
        <f t="shared" si="7"/>
        <v>2.057939462890515</v>
      </c>
      <c r="BQ7">
        <f t="shared" si="7"/>
        <v>2.3929861549557012</v>
      </c>
      <c r="BR7">
        <f t="shared" si="7"/>
        <v>2.504503058393249</v>
      </c>
      <c r="BS7">
        <f t="shared" si="7"/>
        <v>2.0683245178756962</v>
      </c>
      <c r="BT7">
        <f t="shared" ref="BT7:CG7" si="8">B12</f>
        <v>3.0519073245187971</v>
      </c>
      <c r="BU7">
        <f t="shared" si="8"/>
        <v>2.113092884572183</v>
      </c>
      <c r="BV7">
        <f t="shared" si="8"/>
        <v>1.964616422159754</v>
      </c>
      <c r="BW7">
        <f t="shared" si="8"/>
        <v>2.3450918268186931</v>
      </c>
      <c r="BX7">
        <f t="shared" si="8"/>
        <v>2.1806827349729221</v>
      </c>
      <c r="BY7">
        <f t="shared" si="8"/>
        <v>1.6304371441606389</v>
      </c>
      <c r="BZ7">
        <f t="shared" si="8"/>
        <v>1.6451695587332731</v>
      </c>
      <c r="CA7">
        <f t="shared" si="8"/>
        <v>1.8298841111161941</v>
      </c>
      <c r="CB7">
        <f t="shared" si="8"/>
        <v>2.0004618873090072</v>
      </c>
      <c r="CC7">
        <f t="shared" si="8"/>
        <v>1.7879060398127751</v>
      </c>
      <c r="CD7">
        <f t="shared" si="8"/>
        <v>2.2215819771495409</v>
      </c>
      <c r="CE7">
        <f t="shared" si="8"/>
        <v>2.348053143460505</v>
      </c>
      <c r="CF7">
        <f t="shared" si="8"/>
        <v>2.5898581524476141</v>
      </c>
      <c r="CG7">
        <f t="shared" si="8"/>
        <v>2.196366182555018</v>
      </c>
      <c r="CH7">
        <f t="shared" ref="CH7:CU7" si="9">B13</f>
        <v>2.435712919050089</v>
      </c>
      <c r="CI7">
        <f t="shared" si="9"/>
        <v>2.0407784915639549</v>
      </c>
      <c r="CJ7">
        <f t="shared" si="9"/>
        <v>1.8479129130094449</v>
      </c>
      <c r="CK7">
        <f t="shared" si="9"/>
        <v>2.0472342701468289</v>
      </c>
      <c r="CL7">
        <f t="shared" si="9"/>
        <v>1.9763003067133991</v>
      </c>
      <c r="CM7">
        <f t="shared" si="9"/>
        <v>1.727681398971034</v>
      </c>
      <c r="CN7">
        <f t="shared" si="9"/>
        <v>1.497089904809735</v>
      </c>
      <c r="CO7">
        <f t="shared" si="9"/>
        <v>1.7834860440353191</v>
      </c>
      <c r="CP7">
        <f t="shared" si="9"/>
        <v>1.629919165992161</v>
      </c>
      <c r="CQ7">
        <f t="shared" si="9"/>
        <v>1.924594833384232</v>
      </c>
      <c r="CR7">
        <f t="shared" si="9"/>
        <v>2.051943014397815</v>
      </c>
      <c r="CS7">
        <f t="shared" si="9"/>
        <v>2.0112216939627752</v>
      </c>
      <c r="CT7">
        <f t="shared" si="9"/>
        <v>2.2851068838668689</v>
      </c>
      <c r="CU7">
        <f t="shared" si="9"/>
        <v>2.02506481072969</v>
      </c>
      <c r="CV7">
        <f t="shared" ref="CV7:DI7" si="10">B14</f>
        <v>2.4397593165335838</v>
      </c>
      <c r="CW7">
        <f t="shared" si="10"/>
        <v>2.49187090821705</v>
      </c>
      <c r="CX7">
        <f t="shared" si="10"/>
        <v>1.7267540263066681</v>
      </c>
      <c r="CY7">
        <f t="shared" si="10"/>
        <v>1.87776065573609</v>
      </c>
      <c r="CZ7">
        <f t="shared" si="10"/>
        <v>2.047578305029119</v>
      </c>
      <c r="DA7">
        <f t="shared" si="10"/>
        <v>1.998228663344999</v>
      </c>
      <c r="DB7">
        <f t="shared" si="10"/>
        <v>1.3367173874687051</v>
      </c>
      <c r="DC7">
        <f t="shared" si="10"/>
        <v>1.7077076336671559</v>
      </c>
      <c r="DD7">
        <f t="shared" si="10"/>
        <v>1.817738135958215</v>
      </c>
      <c r="DE7">
        <f t="shared" si="10"/>
        <v>1.4359239406422399</v>
      </c>
      <c r="DF7">
        <f t="shared" si="10"/>
        <v>1.862889858701382</v>
      </c>
      <c r="DG7">
        <f t="shared" si="10"/>
        <v>1.678009928573696</v>
      </c>
      <c r="DH7">
        <f t="shared" si="10"/>
        <v>2.0907897893945662</v>
      </c>
      <c r="DI7">
        <f t="shared" si="10"/>
        <v>2.000978346966571</v>
      </c>
      <c r="DJ7">
        <f t="shared" ref="DJ7:DW7" si="11">B15</f>
        <v>2.63276203133363</v>
      </c>
      <c r="DK7">
        <f t="shared" si="11"/>
        <v>2.461401279066274</v>
      </c>
      <c r="DL7">
        <f t="shared" si="11"/>
        <v>1.8063766323068959</v>
      </c>
      <c r="DM7">
        <f t="shared" si="11"/>
        <v>1.974158730842603</v>
      </c>
      <c r="DN7">
        <f t="shared" si="11"/>
        <v>2.153431215450214</v>
      </c>
      <c r="DO7">
        <f t="shared" si="11"/>
        <v>1.958096705529615</v>
      </c>
      <c r="DP7">
        <f t="shared" si="11"/>
        <v>1.6638776373390221</v>
      </c>
      <c r="DQ7">
        <f t="shared" si="11"/>
        <v>2.0060009851776468</v>
      </c>
      <c r="DR7">
        <f t="shared" si="11"/>
        <v>1.844755792091846</v>
      </c>
      <c r="DS7">
        <f t="shared" si="11"/>
        <v>2.0854699806921948</v>
      </c>
      <c r="DT7">
        <f t="shared" si="11"/>
        <v>1.82605583186975</v>
      </c>
      <c r="DU7">
        <f t="shared" si="11"/>
        <v>2.3686405658985832</v>
      </c>
      <c r="DV7">
        <f t="shared" si="11"/>
        <v>2.2861916625614471</v>
      </c>
      <c r="DW7">
        <f t="shared" si="11"/>
        <v>1.9015728361651041</v>
      </c>
      <c r="DX7">
        <f t="shared" ref="DX7:EK7" si="12">B16</f>
        <v>2.51991191808035</v>
      </c>
      <c r="DY7">
        <f t="shared" si="12"/>
        <v>2.6819243833199011</v>
      </c>
      <c r="DZ7">
        <f t="shared" si="12"/>
        <v>2.4298005080525078</v>
      </c>
      <c r="EA7">
        <f t="shared" si="12"/>
        <v>2.0371009396476611</v>
      </c>
      <c r="EB7">
        <f t="shared" si="12"/>
        <v>2.0371878093086249</v>
      </c>
      <c r="EC7">
        <f t="shared" si="12"/>
        <v>1.9119627800439229</v>
      </c>
      <c r="ED7">
        <f t="shared" si="12"/>
        <v>1.3732424902194951</v>
      </c>
      <c r="EE7">
        <f t="shared" si="12"/>
        <v>1.9559064794387</v>
      </c>
      <c r="EF7">
        <f t="shared" si="12"/>
        <v>1.8500835768432831</v>
      </c>
      <c r="EG7">
        <f t="shared" si="12"/>
        <v>2.1074620409996889</v>
      </c>
      <c r="EH7">
        <f t="shared" si="12"/>
        <v>2.144948948176685</v>
      </c>
      <c r="EI7">
        <f t="shared" si="12"/>
        <v>2.2593589439248718</v>
      </c>
      <c r="EJ7">
        <f t="shared" si="12"/>
        <v>2.1223121070864659</v>
      </c>
      <c r="EK7">
        <f t="shared" si="12"/>
        <v>1.866310247489412</v>
      </c>
    </row>
    <row r="8" spans="1:141" x14ac:dyDescent="0.15">
      <c r="A8" s="1" t="s">
        <v>20</v>
      </c>
      <c r="B8" s="7">
        <v>3.1357969673264501</v>
      </c>
      <c r="C8">
        <v>2.6297730679925801</v>
      </c>
      <c r="D8">
        <v>1.8715742663949351</v>
      </c>
      <c r="E8">
        <v>2.2790980744156908</v>
      </c>
      <c r="F8">
        <v>1.9607051828774169</v>
      </c>
      <c r="G8">
        <v>1.7234947911440319</v>
      </c>
      <c r="H8">
        <v>1.873751989792124</v>
      </c>
      <c r="I8">
        <v>2.0687224861208069</v>
      </c>
      <c r="J8">
        <v>1.6556029839119211</v>
      </c>
      <c r="K8">
        <v>1.78230427833871</v>
      </c>
      <c r="L8">
        <v>2.5453838664362869</v>
      </c>
      <c r="M8">
        <v>2.6584915681764199</v>
      </c>
      <c r="N8">
        <v>2.2576866431301679</v>
      </c>
      <c r="O8">
        <v>2.4414847433469768</v>
      </c>
    </row>
    <row r="9" spans="1:141" x14ac:dyDescent="0.15">
      <c r="A9" s="1" t="s">
        <v>21</v>
      </c>
      <c r="B9" s="7">
        <v>2.9550313666567569</v>
      </c>
      <c r="C9">
        <v>2.181548181401801</v>
      </c>
      <c r="D9">
        <v>1.797642944875619</v>
      </c>
      <c r="E9">
        <v>1.9449246742576609</v>
      </c>
      <c r="F9">
        <v>1.929949393446162</v>
      </c>
      <c r="G9">
        <v>1.874862817656842</v>
      </c>
      <c r="H9">
        <v>1.402427221303532</v>
      </c>
      <c r="I9">
        <v>1.9440134089247769</v>
      </c>
      <c r="J9">
        <v>1.7039994483864369</v>
      </c>
      <c r="K9">
        <v>1.946556145714377</v>
      </c>
      <c r="L9">
        <v>2.472037688654952</v>
      </c>
      <c r="M9">
        <v>2.6151629615293071</v>
      </c>
      <c r="N9">
        <v>2.2841870296894018</v>
      </c>
      <c r="O9">
        <v>2.244608078571865</v>
      </c>
    </row>
    <row r="10" spans="1:141" x14ac:dyDescent="0.15">
      <c r="A10" s="1" t="s">
        <v>22</v>
      </c>
      <c r="B10" s="7">
        <v>3.0022137965039248</v>
      </c>
      <c r="C10">
        <v>2.5939229199127261</v>
      </c>
      <c r="D10">
        <v>2.066990080126315</v>
      </c>
      <c r="E10">
        <v>2.314055323424995</v>
      </c>
      <c r="F10">
        <v>1.9690656540050619</v>
      </c>
      <c r="G10">
        <v>1.621942761041379</v>
      </c>
      <c r="H10">
        <v>1.4415884802066921</v>
      </c>
      <c r="I10">
        <v>2.3878486458348589</v>
      </c>
      <c r="J10">
        <v>1.777543070178089</v>
      </c>
      <c r="K10">
        <v>1.705858354536451</v>
      </c>
      <c r="L10">
        <v>2.5220647735477462</v>
      </c>
      <c r="M10">
        <v>2.6429480538968848</v>
      </c>
      <c r="N10">
        <v>2.5311278084578261</v>
      </c>
      <c r="O10">
        <v>2.2308000206393692</v>
      </c>
    </row>
    <row r="11" spans="1:141" x14ac:dyDescent="0.15">
      <c r="A11" s="1" t="s">
        <v>23</v>
      </c>
      <c r="B11" s="7">
        <v>3.303412605913945</v>
      </c>
      <c r="C11">
        <v>2.2633596116075259</v>
      </c>
      <c r="D11">
        <v>1.8035405875996731</v>
      </c>
      <c r="E11">
        <v>2.2906712829440381</v>
      </c>
      <c r="F11">
        <v>1.984726343942766</v>
      </c>
      <c r="G11">
        <v>1.941914950558165</v>
      </c>
      <c r="H11">
        <v>1.526316605243998</v>
      </c>
      <c r="I11">
        <v>1.991453687590045</v>
      </c>
      <c r="J11">
        <v>1.954182733569688</v>
      </c>
      <c r="K11">
        <v>1.6477440784389319</v>
      </c>
      <c r="L11">
        <v>2.057939462890515</v>
      </c>
      <c r="M11">
        <v>2.3929861549557012</v>
      </c>
      <c r="N11">
        <v>2.504503058393249</v>
      </c>
      <c r="O11">
        <v>2.0683245178756962</v>
      </c>
    </row>
    <row r="12" spans="1:141" x14ac:dyDescent="0.15">
      <c r="A12" s="1" t="s">
        <v>24</v>
      </c>
      <c r="B12" s="7">
        <v>3.0519073245187971</v>
      </c>
      <c r="C12">
        <v>2.113092884572183</v>
      </c>
      <c r="D12">
        <v>1.964616422159754</v>
      </c>
      <c r="E12">
        <v>2.3450918268186931</v>
      </c>
      <c r="F12">
        <v>2.1806827349729221</v>
      </c>
      <c r="G12">
        <v>1.6304371441606389</v>
      </c>
      <c r="H12">
        <v>1.6451695587332731</v>
      </c>
      <c r="I12">
        <v>1.8298841111161941</v>
      </c>
      <c r="J12">
        <v>2.0004618873090072</v>
      </c>
      <c r="K12">
        <v>1.7879060398127751</v>
      </c>
      <c r="L12">
        <v>2.2215819771495409</v>
      </c>
      <c r="M12">
        <v>2.348053143460505</v>
      </c>
      <c r="N12">
        <v>2.5898581524476141</v>
      </c>
      <c r="O12">
        <v>2.196366182555018</v>
      </c>
    </row>
    <row r="13" spans="1:141" x14ac:dyDescent="0.15">
      <c r="A13" s="1" t="s">
        <v>25</v>
      </c>
      <c r="B13" s="7">
        <v>2.435712919050089</v>
      </c>
      <c r="C13">
        <v>2.0407784915639549</v>
      </c>
      <c r="D13">
        <v>1.8479129130094449</v>
      </c>
      <c r="E13">
        <v>2.0472342701468289</v>
      </c>
      <c r="F13">
        <v>1.9763003067133991</v>
      </c>
      <c r="G13">
        <v>1.727681398971034</v>
      </c>
      <c r="H13">
        <v>1.497089904809735</v>
      </c>
      <c r="I13">
        <v>1.7834860440353191</v>
      </c>
      <c r="J13">
        <v>1.629919165992161</v>
      </c>
      <c r="K13">
        <v>1.924594833384232</v>
      </c>
      <c r="L13">
        <v>2.051943014397815</v>
      </c>
      <c r="M13">
        <v>2.0112216939627752</v>
      </c>
      <c r="N13">
        <v>2.2851068838668689</v>
      </c>
      <c r="O13">
        <v>2.02506481072969</v>
      </c>
    </row>
    <row r="14" spans="1:141" x14ac:dyDescent="0.15">
      <c r="A14" s="1" t="s">
        <v>26</v>
      </c>
      <c r="B14" s="7">
        <v>2.4397593165335838</v>
      </c>
      <c r="C14">
        <v>2.49187090821705</v>
      </c>
      <c r="D14">
        <v>1.7267540263066681</v>
      </c>
      <c r="E14">
        <v>1.87776065573609</v>
      </c>
      <c r="F14">
        <v>2.047578305029119</v>
      </c>
      <c r="G14">
        <v>1.998228663344999</v>
      </c>
      <c r="H14">
        <v>1.3367173874687051</v>
      </c>
      <c r="I14">
        <v>1.7077076336671559</v>
      </c>
      <c r="J14">
        <v>1.817738135958215</v>
      </c>
      <c r="K14">
        <v>1.4359239406422399</v>
      </c>
      <c r="L14">
        <v>1.862889858701382</v>
      </c>
      <c r="M14">
        <v>1.678009928573696</v>
      </c>
      <c r="N14">
        <v>2.0907897893945662</v>
      </c>
      <c r="O14">
        <v>2.000978346966571</v>
      </c>
    </row>
    <row r="15" spans="1:141" x14ac:dyDescent="0.15">
      <c r="A15" s="1" t="s">
        <v>27</v>
      </c>
      <c r="B15" s="7">
        <v>2.63276203133363</v>
      </c>
      <c r="C15">
        <v>2.461401279066274</v>
      </c>
      <c r="D15">
        <v>1.8063766323068959</v>
      </c>
      <c r="E15">
        <v>1.974158730842603</v>
      </c>
      <c r="F15">
        <v>2.153431215450214</v>
      </c>
      <c r="G15">
        <v>1.958096705529615</v>
      </c>
      <c r="H15">
        <v>1.6638776373390221</v>
      </c>
      <c r="I15">
        <v>2.0060009851776468</v>
      </c>
      <c r="J15">
        <v>1.844755792091846</v>
      </c>
      <c r="K15">
        <v>2.0854699806921948</v>
      </c>
      <c r="L15">
        <v>1.82605583186975</v>
      </c>
      <c r="M15">
        <v>2.3686405658985832</v>
      </c>
      <c r="N15">
        <v>2.2861916625614471</v>
      </c>
      <c r="O15">
        <v>1.9015728361651041</v>
      </c>
    </row>
    <row r="16" spans="1:141" ht="14.25" thickBot="1" x14ac:dyDescent="0.2">
      <c r="A16" s="1" t="s">
        <v>28</v>
      </c>
      <c r="B16" s="8">
        <v>2.51991191808035</v>
      </c>
      <c r="C16" s="9">
        <v>2.6819243833199011</v>
      </c>
      <c r="D16" s="9">
        <v>2.4298005080525078</v>
      </c>
      <c r="E16" s="9">
        <v>2.0371009396476611</v>
      </c>
      <c r="F16" s="9">
        <v>2.0371878093086249</v>
      </c>
      <c r="G16" s="9">
        <v>1.9119627800439229</v>
      </c>
      <c r="H16" s="9">
        <v>1.3732424902194951</v>
      </c>
      <c r="I16" s="9">
        <v>1.9559064794387</v>
      </c>
      <c r="J16" s="9">
        <v>1.8500835768432831</v>
      </c>
      <c r="K16" s="9">
        <v>2.1074620409996889</v>
      </c>
      <c r="L16" s="9">
        <v>2.144948948176685</v>
      </c>
      <c r="M16" s="9">
        <v>2.2593589439248718</v>
      </c>
      <c r="N16" s="9">
        <v>2.1223121070864659</v>
      </c>
      <c r="O16" s="9">
        <v>1.866310247489412</v>
      </c>
    </row>
    <row r="17" spans="1:141" x14ac:dyDescent="0.15">
      <c r="A17" s="1" t="s">
        <v>29</v>
      </c>
      <c r="B17" s="10">
        <v>2.2971283520667871</v>
      </c>
      <c r="C17" s="11">
        <v>2.9578749754637141</v>
      </c>
      <c r="D17" s="11">
        <v>1.6094609837371561</v>
      </c>
      <c r="E17" s="11">
        <v>1.417075207318836</v>
      </c>
      <c r="F17" s="11">
        <v>2.5509657333573759</v>
      </c>
      <c r="G17" s="11">
        <v>2.2919500431441961</v>
      </c>
      <c r="H17" s="11">
        <v>1.7646359930032249</v>
      </c>
      <c r="I17" s="11">
        <v>2.6004105341852628</v>
      </c>
      <c r="J17" s="11">
        <v>1.9262014076010541</v>
      </c>
      <c r="K17" s="11">
        <v>2.1976396961799152</v>
      </c>
      <c r="L17" s="11">
        <v>2.534862786650292</v>
      </c>
      <c r="M17" s="11">
        <v>2.5591658968573481</v>
      </c>
      <c r="N17" s="11">
        <v>2.4481859054882951</v>
      </c>
      <c r="O17" s="11">
        <v>2.6876893636052781</v>
      </c>
      <c r="P17">
        <f t="shared" ref="P17:AC17" si="13">B18</f>
        <v>2.0837539483215468</v>
      </c>
      <c r="Q17">
        <f t="shared" si="13"/>
        <v>2.7168843158200269</v>
      </c>
      <c r="R17">
        <f t="shared" si="13"/>
        <v>1.901967968785039</v>
      </c>
      <c r="S17">
        <f t="shared" si="13"/>
        <v>1.603523143848129</v>
      </c>
      <c r="T17">
        <f t="shared" si="13"/>
        <v>2.8078898751202161</v>
      </c>
      <c r="U17">
        <f t="shared" si="13"/>
        <v>2.0452271803069211</v>
      </c>
      <c r="V17">
        <f t="shared" si="13"/>
        <v>1.894890312554474</v>
      </c>
      <c r="W17">
        <f t="shared" si="13"/>
        <v>2.1398397653766299</v>
      </c>
      <c r="X17">
        <f t="shared" si="13"/>
        <v>1.786312475553349</v>
      </c>
      <c r="Y17">
        <f t="shared" si="13"/>
        <v>2.8702660890651042</v>
      </c>
      <c r="Z17">
        <f t="shared" si="13"/>
        <v>1.925331531387094</v>
      </c>
      <c r="AA17">
        <f t="shared" si="13"/>
        <v>2.8606606359435611</v>
      </c>
      <c r="AB17">
        <f t="shared" si="13"/>
        <v>3.141980442102438</v>
      </c>
      <c r="AC17">
        <f t="shared" si="13"/>
        <v>2.700081861048691</v>
      </c>
      <c r="AD17">
        <f t="shared" ref="AD17:AQ17" si="14">B19</f>
        <v>1.600359819568439</v>
      </c>
      <c r="AE17">
        <f t="shared" si="14"/>
        <v>2.3629429411426939</v>
      </c>
      <c r="AF17">
        <f t="shared" si="14"/>
        <v>1.857449770504277</v>
      </c>
      <c r="AG17">
        <f t="shared" si="14"/>
        <v>1.608156127865138</v>
      </c>
      <c r="AH17">
        <f t="shared" si="14"/>
        <v>2.0238055523786942</v>
      </c>
      <c r="AI17">
        <f t="shared" si="14"/>
        <v>1.997276568356402</v>
      </c>
      <c r="AJ17">
        <f t="shared" si="14"/>
        <v>1.969971058362239</v>
      </c>
      <c r="AK17">
        <f t="shared" si="14"/>
        <v>1.9986406814847359</v>
      </c>
      <c r="AL17">
        <f t="shared" si="14"/>
        <v>1.357700763480574</v>
      </c>
      <c r="AM17">
        <f t="shared" si="14"/>
        <v>2.031724547826252</v>
      </c>
      <c r="AN17">
        <f t="shared" si="14"/>
        <v>1.642409162467378</v>
      </c>
      <c r="AO17">
        <f t="shared" si="14"/>
        <v>2.3781247145993709</v>
      </c>
      <c r="AP17">
        <f t="shared" si="14"/>
        <v>2.4484268949735419</v>
      </c>
      <c r="AQ17">
        <f t="shared" si="14"/>
        <v>2.6093126128150552</v>
      </c>
      <c r="AR17">
        <f t="shared" ref="AR17:BE17" si="15">B20</f>
        <v>1.2786613265658979</v>
      </c>
      <c r="AS17">
        <f t="shared" si="15"/>
        <v>2.2065368730619892</v>
      </c>
      <c r="AT17">
        <f t="shared" si="15"/>
        <v>1.556527080890741</v>
      </c>
      <c r="AU17">
        <f t="shared" si="15"/>
        <v>1.1375696720320829</v>
      </c>
      <c r="AV17">
        <f t="shared" si="15"/>
        <v>2.041056997801745</v>
      </c>
      <c r="AW17">
        <f t="shared" si="15"/>
        <v>2.036270935243425</v>
      </c>
      <c r="AX17">
        <f t="shared" si="15"/>
        <v>1.5633285711798031</v>
      </c>
      <c r="AY17">
        <f t="shared" si="15"/>
        <v>1.5097984812890499</v>
      </c>
      <c r="AZ17">
        <f t="shared" si="15"/>
        <v>1.622221053661522</v>
      </c>
      <c r="BA17">
        <f t="shared" si="15"/>
        <v>1.841561304722386</v>
      </c>
      <c r="BB17">
        <f t="shared" si="15"/>
        <v>1.146774157787376</v>
      </c>
      <c r="BC17">
        <f t="shared" si="15"/>
        <v>2.6546011359567041</v>
      </c>
      <c r="BD17">
        <f t="shared" si="15"/>
        <v>1.845152339373717</v>
      </c>
      <c r="BE17">
        <f t="shared" si="15"/>
        <v>1.7999186037992969</v>
      </c>
      <c r="BF17">
        <f t="shared" ref="BF17:BS17" si="16">B21</f>
        <v>1.047975505809464</v>
      </c>
      <c r="BG17">
        <f t="shared" si="16"/>
        <v>2.0497414795773752</v>
      </c>
      <c r="BH17">
        <f t="shared" si="16"/>
        <v>1.1701648595142871</v>
      </c>
      <c r="BI17">
        <f t="shared" si="16"/>
        <v>0.649350985877301</v>
      </c>
      <c r="BJ17">
        <f t="shared" si="16"/>
        <v>1.4061990645703819</v>
      </c>
      <c r="BK17">
        <f t="shared" si="16"/>
        <v>1.184814024629171</v>
      </c>
      <c r="BL17">
        <f t="shared" si="16"/>
        <v>0.91412360661070702</v>
      </c>
      <c r="BM17">
        <f t="shared" si="16"/>
        <v>1.216366741004469</v>
      </c>
      <c r="BN17">
        <f t="shared" si="16"/>
        <v>1.6482717894824861</v>
      </c>
      <c r="BO17">
        <f t="shared" si="16"/>
        <v>1.176666522200988</v>
      </c>
      <c r="BP17">
        <f t="shared" si="16"/>
        <v>0.69415028036872395</v>
      </c>
      <c r="BQ17">
        <f t="shared" si="16"/>
        <v>1.2897809969561109</v>
      </c>
      <c r="BR17">
        <f t="shared" si="16"/>
        <v>1.256121200381493</v>
      </c>
      <c r="BS17">
        <f t="shared" si="16"/>
        <v>1.0678547989788161</v>
      </c>
    </row>
    <row r="18" spans="1:141" x14ac:dyDescent="0.15">
      <c r="A18" s="1" t="s">
        <v>30</v>
      </c>
      <c r="B18" s="7">
        <v>2.0837539483215468</v>
      </c>
      <c r="C18">
        <v>2.7168843158200269</v>
      </c>
      <c r="D18">
        <v>1.901967968785039</v>
      </c>
      <c r="E18">
        <v>1.603523143848129</v>
      </c>
      <c r="F18">
        <v>2.8078898751202161</v>
      </c>
      <c r="G18">
        <v>2.0452271803069211</v>
      </c>
      <c r="H18">
        <v>1.894890312554474</v>
      </c>
      <c r="I18">
        <v>2.1398397653766299</v>
      </c>
      <c r="J18">
        <v>1.786312475553349</v>
      </c>
      <c r="K18">
        <v>2.8702660890651042</v>
      </c>
      <c r="L18">
        <v>1.925331531387094</v>
      </c>
      <c r="M18">
        <v>2.8606606359435611</v>
      </c>
      <c r="N18">
        <v>3.141980442102438</v>
      </c>
      <c r="O18">
        <v>2.700081861048691</v>
      </c>
    </row>
    <row r="19" spans="1:141" x14ac:dyDescent="0.15">
      <c r="A19" s="1" t="s">
        <v>31</v>
      </c>
      <c r="B19" s="7">
        <v>1.600359819568439</v>
      </c>
      <c r="C19">
        <v>2.3629429411426939</v>
      </c>
      <c r="D19">
        <v>1.857449770504277</v>
      </c>
      <c r="E19">
        <v>1.608156127865138</v>
      </c>
      <c r="F19">
        <v>2.0238055523786942</v>
      </c>
      <c r="G19">
        <v>1.997276568356402</v>
      </c>
      <c r="H19">
        <v>1.969971058362239</v>
      </c>
      <c r="I19">
        <v>1.9986406814847359</v>
      </c>
      <c r="J19">
        <v>1.357700763480574</v>
      </c>
      <c r="K19">
        <v>2.031724547826252</v>
      </c>
      <c r="L19">
        <v>1.642409162467378</v>
      </c>
      <c r="M19">
        <v>2.3781247145993709</v>
      </c>
      <c r="N19">
        <v>2.4484268949735419</v>
      </c>
      <c r="O19">
        <v>2.6093126128150552</v>
      </c>
    </row>
    <row r="20" spans="1:141" x14ac:dyDescent="0.15">
      <c r="A20" s="1" t="s">
        <v>32</v>
      </c>
      <c r="B20" s="7">
        <v>1.2786613265658979</v>
      </c>
      <c r="C20">
        <v>2.2065368730619892</v>
      </c>
      <c r="D20">
        <v>1.556527080890741</v>
      </c>
      <c r="E20">
        <v>1.1375696720320829</v>
      </c>
      <c r="F20">
        <v>2.041056997801745</v>
      </c>
      <c r="G20">
        <v>2.036270935243425</v>
      </c>
      <c r="H20">
        <v>1.5633285711798031</v>
      </c>
      <c r="I20">
        <v>1.5097984812890499</v>
      </c>
      <c r="J20">
        <v>1.622221053661522</v>
      </c>
      <c r="K20">
        <v>1.841561304722386</v>
      </c>
      <c r="L20">
        <v>1.146774157787376</v>
      </c>
      <c r="M20">
        <v>2.6546011359567041</v>
      </c>
      <c r="N20">
        <v>1.845152339373717</v>
      </c>
      <c r="O20">
        <v>1.7999186037992969</v>
      </c>
    </row>
    <row r="21" spans="1:141" ht="14.25" thickBot="1" x14ac:dyDescent="0.2">
      <c r="A21" s="1" t="s">
        <v>33</v>
      </c>
      <c r="B21" s="8">
        <v>1.047975505809464</v>
      </c>
      <c r="C21" s="9">
        <v>2.0497414795773752</v>
      </c>
      <c r="D21" s="9">
        <v>1.1701648595142871</v>
      </c>
      <c r="E21" s="9">
        <v>0.649350985877301</v>
      </c>
      <c r="F21" s="9">
        <v>1.4061990645703819</v>
      </c>
      <c r="G21" s="9">
        <v>1.184814024629171</v>
      </c>
      <c r="H21" s="9">
        <v>0.91412360661070702</v>
      </c>
      <c r="I21" s="9">
        <v>1.216366741004469</v>
      </c>
      <c r="J21" s="9">
        <v>1.6482717894824861</v>
      </c>
      <c r="K21" s="9">
        <v>1.176666522200988</v>
      </c>
      <c r="L21" s="9">
        <v>0.69415028036872395</v>
      </c>
      <c r="M21" s="9">
        <v>1.2897809969561109</v>
      </c>
      <c r="N21" s="9">
        <v>1.256121200381493</v>
      </c>
      <c r="O21" s="9">
        <v>1.0678547989788161</v>
      </c>
    </row>
    <row r="22" spans="1:141" x14ac:dyDescent="0.15">
      <c r="A22" s="1" t="s">
        <v>34</v>
      </c>
      <c r="B22">
        <v>2.0021730017422121</v>
      </c>
      <c r="C22">
        <v>2.216371126187473</v>
      </c>
      <c r="D22">
        <v>0.8901268532165878</v>
      </c>
      <c r="E22">
        <v>0.87579353657817416</v>
      </c>
      <c r="F22">
        <v>1.636265679071224</v>
      </c>
      <c r="G22">
        <v>1.109033334293815</v>
      </c>
      <c r="H22">
        <v>1.034974274002489</v>
      </c>
      <c r="I22">
        <v>2.5849400106066711</v>
      </c>
      <c r="J22">
        <v>0.82162462381098567</v>
      </c>
      <c r="K22">
        <v>1.477203696469469</v>
      </c>
      <c r="L22">
        <v>1.521810297072663</v>
      </c>
      <c r="M22">
        <v>1.52182118134749</v>
      </c>
      <c r="N22">
        <v>1.870004745689583</v>
      </c>
      <c r="O22">
        <v>0.86119192257429567</v>
      </c>
      <c r="P22">
        <f t="shared" ref="P22:AC22" si="17">B23</f>
        <v>2.7160579184639029</v>
      </c>
      <c r="Q22">
        <f t="shared" si="17"/>
        <v>2.4117947200344689</v>
      </c>
      <c r="R22">
        <f t="shared" si="17"/>
        <v>1.443564476956509</v>
      </c>
      <c r="S22">
        <f t="shared" si="17"/>
        <v>1.263690471191439</v>
      </c>
      <c r="T22">
        <f t="shared" si="17"/>
        <v>1.6903187426878501</v>
      </c>
      <c r="U22">
        <f t="shared" si="17"/>
        <v>1.7019126796602919</v>
      </c>
      <c r="V22">
        <f t="shared" si="17"/>
        <v>1.2034251252477981</v>
      </c>
      <c r="W22">
        <f t="shared" si="17"/>
        <v>1.564168083226853</v>
      </c>
      <c r="X22">
        <f t="shared" si="17"/>
        <v>1.2152535100486641</v>
      </c>
      <c r="Y22">
        <f t="shared" si="17"/>
        <v>2.188115182752056</v>
      </c>
      <c r="Z22">
        <f t="shared" si="17"/>
        <v>1.2751104332911589</v>
      </c>
      <c r="AA22">
        <f t="shared" si="17"/>
        <v>1.312021211754945</v>
      </c>
      <c r="AB22">
        <f t="shared" si="17"/>
        <v>1.8473083983477341</v>
      </c>
      <c r="AC22">
        <f t="shared" si="17"/>
        <v>1.087595729949056</v>
      </c>
      <c r="AD22">
        <f t="shared" ref="AD22:AQ22" si="18">B24</f>
        <v>1.66856576853215</v>
      </c>
      <c r="AE22">
        <f t="shared" si="18"/>
        <v>1.9841518627470049</v>
      </c>
      <c r="AF22">
        <f t="shared" si="18"/>
        <v>1.4356847808892099</v>
      </c>
      <c r="AG22">
        <f t="shared" si="18"/>
        <v>0.92117283335697475</v>
      </c>
      <c r="AH22">
        <f t="shared" si="18"/>
        <v>1.933005934633385</v>
      </c>
      <c r="AI22">
        <f t="shared" si="18"/>
        <v>1.9117115085297629</v>
      </c>
      <c r="AJ22">
        <f t="shared" si="18"/>
        <v>1.527735467700216</v>
      </c>
      <c r="AK22">
        <f t="shared" si="18"/>
        <v>1.6854289930476889</v>
      </c>
      <c r="AL22">
        <f t="shared" si="18"/>
        <v>1.2730326319675771</v>
      </c>
      <c r="AM22">
        <f t="shared" si="18"/>
        <v>1.6351462571181039</v>
      </c>
      <c r="AN22">
        <f t="shared" si="18"/>
        <v>1.424466910077534</v>
      </c>
      <c r="AO22">
        <f t="shared" si="18"/>
        <v>1.3066623605666521</v>
      </c>
      <c r="AP22">
        <f t="shared" si="18"/>
        <v>1.7477819471995699</v>
      </c>
      <c r="AQ22">
        <f t="shared" si="18"/>
        <v>0.79616620642899816</v>
      </c>
      <c r="AR22">
        <f t="shared" ref="AR22:BE22" si="19">B25</f>
        <v>2.389959308630631</v>
      </c>
      <c r="AS22">
        <f t="shared" si="19"/>
        <v>2.0579620127633671</v>
      </c>
      <c r="AT22">
        <f t="shared" si="19"/>
        <v>1.9591576459208</v>
      </c>
      <c r="AU22">
        <f t="shared" si="19"/>
        <v>0.75416792234755148</v>
      </c>
      <c r="AV22">
        <f t="shared" si="19"/>
        <v>1.7035562208880639</v>
      </c>
      <c r="AW22">
        <f t="shared" si="19"/>
        <v>1.623583175710386</v>
      </c>
      <c r="AX22">
        <f t="shared" si="19"/>
        <v>1.8747967501367191</v>
      </c>
      <c r="AY22">
        <f t="shared" si="19"/>
        <v>1.3725053475010709</v>
      </c>
      <c r="AZ22">
        <f t="shared" si="19"/>
        <v>1.2960809642010069</v>
      </c>
      <c r="BA22">
        <f t="shared" si="19"/>
        <v>1.3930819802532839</v>
      </c>
      <c r="BB22">
        <f t="shared" si="19"/>
        <v>1.0490472383988301</v>
      </c>
      <c r="BC22">
        <f t="shared" si="19"/>
        <v>1.488803312622597</v>
      </c>
      <c r="BD22">
        <f t="shared" si="19"/>
        <v>1.903730528428895</v>
      </c>
      <c r="BE22">
        <f t="shared" si="19"/>
        <v>0.9060087121571635</v>
      </c>
      <c r="BF22">
        <f t="shared" ref="BF22:BS22" si="20">B26</f>
        <v>1.88268141456487</v>
      </c>
      <c r="BG22">
        <f t="shared" si="20"/>
        <v>2.0203542757036548</v>
      </c>
      <c r="BH22">
        <f t="shared" si="20"/>
        <v>1.3899586532548109</v>
      </c>
      <c r="BI22">
        <f t="shared" si="20"/>
        <v>0.62371419754055812</v>
      </c>
      <c r="BJ22">
        <f t="shared" si="20"/>
        <v>1.371176480299503</v>
      </c>
      <c r="BK22">
        <f t="shared" si="20"/>
        <v>1.0625658393549</v>
      </c>
      <c r="BL22">
        <f t="shared" si="20"/>
        <v>1.036201937863523</v>
      </c>
      <c r="BM22">
        <f t="shared" si="20"/>
        <v>1.605654550790957</v>
      </c>
      <c r="BN22">
        <f t="shared" si="20"/>
        <v>0.95734668777074639</v>
      </c>
      <c r="BO22">
        <f t="shared" si="20"/>
        <v>0.93352138097979642</v>
      </c>
      <c r="BP22">
        <f t="shared" si="20"/>
        <v>0.84319014963087136</v>
      </c>
      <c r="BQ22">
        <f t="shared" si="20"/>
        <v>1.0085213410303979</v>
      </c>
      <c r="BR22">
        <f t="shared" si="20"/>
        <v>1.843622808721936</v>
      </c>
      <c r="BS22">
        <f t="shared" si="20"/>
        <v>0.63933276828820218</v>
      </c>
      <c r="BT22">
        <f t="shared" ref="BT22:CG22" si="21">B27</f>
        <v>2.1676814563965081</v>
      </c>
      <c r="BU22">
        <f t="shared" si="21"/>
        <v>2.0711172628125998</v>
      </c>
      <c r="BV22">
        <f t="shared" si="21"/>
        <v>1.8791158137113431</v>
      </c>
      <c r="BW22">
        <f t="shared" si="21"/>
        <v>0.802676753169144</v>
      </c>
      <c r="BX22">
        <f t="shared" si="21"/>
        <v>1.5544024591429131</v>
      </c>
      <c r="BY22">
        <f t="shared" si="21"/>
        <v>1.5318343967243711</v>
      </c>
      <c r="BZ22">
        <f t="shared" si="21"/>
        <v>0.78669083327638623</v>
      </c>
      <c r="CA22">
        <f t="shared" si="21"/>
        <v>1.516867758010749</v>
      </c>
      <c r="CB22">
        <f t="shared" si="21"/>
        <v>0.87663297933061402</v>
      </c>
      <c r="CC22">
        <f t="shared" si="21"/>
        <v>1.113201472372749</v>
      </c>
      <c r="CD22">
        <f t="shared" si="21"/>
        <v>1.385519808704027</v>
      </c>
      <c r="CE22">
        <f t="shared" si="21"/>
        <v>1.1365042547987041</v>
      </c>
      <c r="CF22">
        <f t="shared" si="21"/>
        <v>1.58244322956908</v>
      </c>
      <c r="CG22">
        <f t="shared" si="21"/>
        <v>0.84180735809215335</v>
      </c>
      <c r="CH22">
        <f t="shared" ref="CH22:CU22" si="22">B28</f>
        <v>1.501265239572281</v>
      </c>
      <c r="CI22">
        <f t="shared" si="22"/>
        <v>1.5274883693411501</v>
      </c>
      <c r="CJ22">
        <f t="shared" si="22"/>
        <v>1.5911563461236291</v>
      </c>
      <c r="CK22">
        <f t="shared" si="22"/>
        <v>0.81348141160899445</v>
      </c>
      <c r="CL22">
        <f t="shared" si="22"/>
        <v>1.27290835162689</v>
      </c>
      <c r="CM22">
        <f t="shared" si="22"/>
        <v>1.059229060156641</v>
      </c>
      <c r="CN22">
        <f t="shared" si="22"/>
        <v>0.84350023000675256</v>
      </c>
      <c r="CO22">
        <f t="shared" si="22"/>
        <v>1.6462566191926129</v>
      </c>
      <c r="CP22">
        <f t="shared" si="22"/>
        <v>0.57830811863365239</v>
      </c>
      <c r="CQ22">
        <f t="shared" si="22"/>
        <v>1.108044843069196</v>
      </c>
      <c r="CR22">
        <f t="shared" si="22"/>
        <v>1.536928315776986</v>
      </c>
      <c r="CS22">
        <f t="shared" si="22"/>
        <v>0.90775388158241976</v>
      </c>
      <c r="CT22">
        <f t="shared" si="22"/>
        <v>1.309037631573595</v>
      </c>
      <c r="CU22">
        <f t="shared" si="22"/>
        <v>0.68886506098043998</v>
      </c>
      <c r="CV22">
        <f t="shared" ref="CV22:DI22" si="23">B29</f>
        <v>2.4416340832985259</v>
      </c>
      <c r="CW22">
        <f t="shared" si="23"/>
        <v>1.7459105137302819</v>
      </c>
      <c r="CX22">
        <f t="shared" si="23"/>
        <v>1.9111879627342261</v>
      </c>
      <c r="CY22">
        <f t="shared" si="23"/>
        <v>0.97498646593238592</v>
      </c>
      <c r="CZ22">
        <f t="shared" si="23"/>
        <v>1.367762403985703</v>
      </c>
      <c r="DA22">
        <f t="shared" si="23"/>
        <v>1.125159175347662</v>
      </c>
      <c r="DB22">
        <f t="shared" si="23"/>
        <v>0.98910420111064157</v>
      </c>
      <c r="DC22">
        <f t="shared" si="23"/>
        <v>1.4712709430341211</v>
      </c>
      <c r="DD22">
        <f t="shared" si="23"/>
        <v>0.77004101052424179</v>
      </c>
      <c r="DE22">
        <f t="shared" si="23"/>
        <v>0.99393139891445803</v>
      </c>
      <c r="DF22">
        <f t="shared" si="23"/>
        <v>0.89777394227662599</v>
      </c>
      <c r="DG22">
        <f t="shared" si="23"/>
        <v>1.2810427669141711</v>
      </c>
      <c r="DH22">
        <f t="shared" si="23"/>
        <v>1.306534421711911</v>
      </c>
      <c r="DI22">
        <f t="shared" si="23"/>
        <v>0.67260053839422407</v>
      </c>
      <c r="DJ22">
        <f t="shared" ref="DJ22:DW22" si="24">B30</f>
        <v>2.3686367701675159</v>
      </c>
      <c r="DK22">
        <f t="shared" si="24"/>
        <v>1.4652532644425129</v>
      </c>
      <c r="DL22">
        <f t="shared" si="24"/>
        <v>1.151956417264846</v>
      </c>
      <c r="DM22">
        <f t="shared" si="24"/>
        <v>0.88462320807870898</v>
      </c>
      <c r="DN22">
        <f t="shared" si="24"/>
        <v>0.66077511257110266</v>
      </c>
      <c r="DO22">
        <f t="shared" si="24"/>
        <v>1.809955238765012</v>
      </c>
      <c r="DP22">
        <f t="shared" si="24"/>
        <v>0.69396508831374626</v>
      </c>
      <c r="DQ22">
        <f t="shared" si="24"/>
        <v>1.2514913706955519</v>
      </c>
      <c r="DR22">
        <f t="shared" si="24"/>
        <v>0.3993714908847022</v>
      </c>
      <c r="DS22">
        <f t="shared" si="24"/>
        <v>0.64517634639275145</v>
      </c>
      <c r="DT22">
        <f t="shared" si="24"/>
        <v>0.91349043435703547</v>
      </c>
      <c r="DU22">
        <f t="shared" si="24"/>
        <v>1.1579091811793181</v>
      </c>
      <c r="DV22">
        <f t="shared" si="24"/>
        <v>1.082668144192487</v>
      </c>
      <c r="DW22">
        <f t="shared" si="24"/>
        <v>0.70747226853404832</v>
      </c>
      <c r="DX22">
        <f t="shared" ref="DX22:EK22" si="25">B31</f>
        <v>2.0313770200266981</v>
      </c>
      <c r="DY22">
        <f t="shared" si="25"/>
        <v>1.5257150620976081</v>
      </c>
      <c r="DZ22">
        <f t="shared" si="25"/>
        <v>1.2359493746708821</v>
      </c>
      <c r="EA22">
        <f t="shared" si="25"/>
        <v>0.72908499072068744</v>
      </c>
      <c r="EB22">
        <f t="shared" si="25"/>
        <v>0.61491079192995923</v>
      </c>
      <c r="EC22">
        <f t="shared" si="25"/>
        <v>1.4898278234237581</v>
      </c>
      <c r="ED22">
        <f t="shared" si="25"/>
        <v>0.55488058592974521</v>
      </c>
      <c r="EE22">
        <f t="shared" si="25"/>
        <v>1.7573393481119119</v>
      </c>
      <c r="EF22">
        <f t="shared" si="25"/>
        <v>0.48045393623785182</v>
      </c>
      <c r="EG22">
        <f t="shared" si="25"/>
        <v>0.86729088667494258</v>
      </c>
      <c r="EH22">
        <f t="shared" si="25"/>
        <v>0.69868015477171053</v>
      </c>
      <c r="EI22">
        <f t="shared" si="25"/>
        <v>1.3935238531290479</v>
      </c>
      <c r="EJ22">
        <f t="shared" si="25"/>
        <v>0.80061889459735058</v>
      </c>
      <c r="EK22">
        <f t="shared" si="25"/>
        <v>0.3655624936256911</v>
      </c>
    </row>
    <row r="23" spans="1:141" x14ac:dyDescent="0.15">
      <c r="A23" s="1" t="s">
        <v>35</v>
      </c>
      <c r="B23">
        <v>2.7160579184639029</v>
      </c>
      <c r="C23">
        <v>2.4117947200344689</v>
      </c>
      <c r="D23">
        <v>1.443564476956509</v>
      </c>
      <c r="E23">
        <v>1.263690471191439</v>
      </c>
      <c r="F23">
        <v>1.6903187426878501</v>
      </c>
      <c r="G23">
        <v>1.7019126796602919</v>
      </c>
      <c r="H23">
        <v>1.2034251252477981</v>
      </c>
      <c r="I23">
        <v>1.564168083226853</v>
      </c>
      <c r="J23">
        <v>1.2152535100486641</v>
      </c>
      <c r="K23">
        <v>2.188115182752056</v>
      </c>
      <c r="L23">
        <v>1.2751104332911589</v>
      </c>
      <c r="M23">
        <v>1.312021211754945</v>
      </c>
      <c r="N23">
        <v>1.8473083983477341</v>
      </c>
      <c r="O23">
        <v>1.087595729949056</v>
      </c>
    </row>
    <row r="24" spans="1:141" x14ac:dyDescent="0.15">
      <c r="A24" s="1" t="s">
        <v>36</v>
      </c>
      <c r="B24">
        <v>1.66856576853215</v>
      </c>
      <c r="C24">
        <v>1.9841518627470049</v>
      </c>
      <c r="D24">
        <v>1.4356847808892099</v>
      </c>
      <c r="E24">
        <v>0.92117283335697475</v>
      </c>
      <c r="F24">
        <v>1.933005934633385</v>
      </c>
      <c r="G24">
        <v>1.9117115085297629</v>
      </c>
      <c r="H24">
        <v>1.527735467700216</v>
      </c>
      <c r="I24">
        <v>1.6854289930476889</v>
      </c>
      <c r="J24">
        <v>1.2730326319675771</v>
      </c>
      <c r="K24">
        <v>1.6351462571181039</v>
      </c>
      <c r="L24">
        <v>1.424466910077534</v>
      </c>
      <c r="M24">
        <v>1.3066623605666521</v>
      </c>
      <c r="N24">
        <v>1.7477819471995699</v>
      </c>
      <c r="O24">
        <v>0.79616620642899816</v>
      </c>
    </row>
    <row r="25" spans="1:141" x14ac:dyDescent="0.15">
      <c r="A25" s="1" t="s">
        <v>37</v>
      </c>
      <c r="B25">
        <v>2.389959308630631</v>
      </c>
      <c r="C25">
        <v>2.0579620127633671</v>
      </c>
      <c r="D25">
        <v>1.9591576459208</v>
      </c>
      <c r="E25">
        <v>0.75416792234755148</v>
      </c>
      <c r="F25">
        <v>1.7035562208880639</v>
      </c>
      <c r="G25">
        <v>1.623583175710386</v>
      </c>
      <c r="H25">
        <v>1.8747967501367191</v>
      </c>
      <c r="I25">
        <v>1.3725053475010709</v>
      </c>
      <c r="J25">
        <v>1.2960809642010069</v>
      </c>
      <c r="K25">
        <v>1.3930819802532839</v>
      </c>
      <c r="L25">
        <v>1.0490472383988301</v>
      </c>
      <c r="M25">
        <v>1.488803312622597</v>
      </c>
      <c r="N25">
        <v>1.903730528428895</v>
      </c>
      <c r="O25">
        <v>0.9060087121571635</v>
      </c>
    </row>
    <row r="26" spans="1:141" x14ac:dyDescent="0.15">
      <c r="A26" s="1" t="s">
        <v>38</v>
      </c>
      <c r="B26">
        <v>1.88268141456487</v>
      </c>
      <c r="C26">
        <v>2.0203542757036548</v>
      </c>
      <c r="D26">
        <v>1.3899586532548109</v>
      </c>
      <c r="E26">
        <v>0.62371419754055812</v>
      </c>
      <c r="F26">
        <v>1.371176480299503</v>
      </c>
      <c r="G26">
        <v>1.0625658393549</v>
      </c>
      <c r="H26">
        <v>1.036201937863523</v>
      </c>
      <c r="I26">
        <v>1.605654550790957</v>
      </c>
      <c r="J26">
        <v>0.95734668777074639</v>
      </c>
      <c r="K26">
        <v>0.93352138097979642</v>
      </c>
      <c r="L26">
        <v>0.84319014963087136</v>
      </c>
      <c r="M26">
        <v>1.0085213410303979</v>
      </c>
      <c r="N26">
        <v>1.843622808721936</v>
      </c>
      <c r="O26">
        <v>0.63933276828820218</v>
      </c>
    </row>
    <row r="27" spans="1:141" x14ac:dyDescent="0.15">
      <c r="A27" s="1" t="s">
        <v>39</v>
      </c>
      <c r="B27">
        <v>2.1676814563965081</v>
      </c>
      <c r="C27">
        <v>2.0711172628125998</v>
      </c>
      <c r="D27">
        <v>1.8791158137113431</v>
      </c>
      <c r="E27">
        <v>0.802676753169144</v>
      </c>
      <c r="F27">
        <v>1.5544024591429131</v>
      </c>
      <c r="G27">
        <v>1.5318343967243711</v>
      </c>
      <c r="H27">
        <v>0.78669083327638623</v>
      </c>
      <c r="I27">
        <v>1.516867758010749</v>
      </c>
      <c r="J27">
        <v>0.87663297933061402</v>
      </c>
      <c r="K27">
        <v>1.113201472372749</v>
      </c>
      <c r="L27">
        <v>1.385519808704027</v>
      </c>
      <c r="M27">
        <v>1.1365042547987041</v>
      </c>
      <c r="N27">
        <v>1.58244322956908</v>
      </c>
      <c r="O27">
        <v>0.84180735809215335</v>
      </c>
    </row>
    <row r="28" spans="1:141" x14ac:dyDescent="0.15">
      <c r="A28" s="1" t="s">
        <v>40</v>
      </c>
      <c r="B28">
        <v>1.501265239572281</v>
      </c>
      <c r="C28">
        <v>1.5274883693411501</v>
      </c>
      <c r="D28">
        <v>1.5911563461236291</v>
      </c>
      <c r="E28">
        <v>0.81348141160899445</v>
      </c>
      <c r="F28">
        <v>1.27290835162689</v>
      </c>
      <c r="G28">
        <v>1.059229060156641</v>
      </c>
      <c r="H28">
        <v>0.84350023000675256</v>
      </c>
      <c r="I28">
        <v>1.6462566191926129</v>
      </c>
      <c r="J28">
        <v>0.57830811863365239</v>
      </c>
      <c r="K28">
        <v>1.108044843069196</v>
      </c>
      <c r="L28">
        <v>1.536928315776986</v>
      </c>
      <c r="M28">
        <v>0.90775388158241976</v>
      </c>
      <c r="N28">
        <v>1.309037631573595</v>
      </c>
      <c r="O28">
        <v>0.68886506098043998</v>
      </c>
    </row>
    <row r="29" spans="1:141" x14ac:dyDescent="0.15">
      <c r="A29" s="1" t="s">
        <v>41</v>
      </c>
      <c r="B29">
        <v>2.4416340832985259</v>
      </c>
      <c r="C29">
        <v>1.7459105137302819</v>
      </c>
      <c r="D29">
        <v>1.9111879627342261</v>
      </c>
      <c r="E29">
        <v>0.97498646593238592</v>
      </c>
      <c r="F29">
        <v>1.367762403985703</v>
      </c>
      <c r="G29">
        <v>1.125159175347662</v>
      </c>
      <c r="H29">
        <v>0.98910420111064157</v>
      </c>
      <c r="I29">
        <v>1.4712709430341211</v>
      </c>
      <c r="J29">
        <v>0.77004101052424179</v>
      </c>
      <c r="K29">
        <v>0.99393139891445803</v>
      </c>
      <c r="L29">
        <v>0.89777394227662599</v>
      </c>
      <c r="M29">
        <v>1.2810427669141711</v>
      </c>
      <c r="N29">
        <v>1.306534421711911</v>
      </c>
      <c r="O29">
        <v>0.67260053839422407</v>
      </c>
    </row>
    <row r="30" spans="1:141" x14ac:dyDescent="0.15">
      <c r="A30" s="1" t="s">
        <v>42</v>
      </c>
      <c r="B30">
        <v>2.3686367701675159</v>
      </c>
      <c r="C30">
        <v>1.4652532644425129</v>
      </c>
      <c r="D30">
        <v>1.151956417264846</v>
      </c>
      <c r="E30">
        <v>0.88462320807870898</v>
      </c>
      <c r="F30">
        <v>0.66077511257110266</v>
      </c>
      <c r="G30">
        <v>1.809955238765012</v>
      </c>
      <c r="H30">
        <v>0.69396508831374626</v>
      </c>
      <c r="I30">
        <v>1.2514913706955519</v>
      </c>
      <c r="J30">
        <v>0.3993714908847022</v>
      </c>
      <c r="K30">
        <v>0.64517634639275145</v>
      </c>
      <c r="L30">
        <v>0.91349043435703547</v>
      </c>
      <c r="M30">
        <v>1.1579091811793181</v>
      </c>
      <c r="N30">
        <v>1.082668144192487</v>
      </c>
      <c r="O30">
        <v>0.70747226853404832</v>
      </c>
      <c r="P30" t="s">
        <v>66</v>
      </c>
      <c r="T30" t="s">
        <v>67</v>
      </c>
      <c r="V30" t="s">
        <v>68</v>
      </c>
    </row>
    <row r="31" spans="1:141" x14ac:dyDescent="0.15">
      <c r="A31" s="1" t="s">
        <v>43</v>
      </c>
      <c r="B31">
        <v>2.0313770200266981</v>
      </c>
      <c r="C31">
        <v>1.5257150620976081</v>
      </c>
      <c r="D31">
        <v>1.2359493746708821</v>
      </c>
      <c r="E31">
        <v>0.72908499072068744</v>
      </c>
      <c r="F31">
        <v>0.61491079192995923</v>
      </c>
      <c r="G31">
        <v>1.4898278234237581</v>
      </c>
      <c r="H31">
        <v>0.55488058592974521</v>
      </c>
      <c r="I31">
        <v>1.7573393481119119</v>
      </c>
      <c r="J31">
        <v>0.48045393623785182</v>
      </c>
      <c r="K31">
        <v>0.86729088667494258</v>
      </c>
      <c r="L31">
        <v>0.69868015477171053</v>
      </c>
      <c r="M31">
        <v>1.3935238531290479</v>
      </c>
      <c r="N31">
        <v>0.80061889459735058</v>
      </c>
      <c r="O31">
        <v>0.3655624936256911</v>
      </c>
      <c r="Q31" t="s">
        <v>69</v>
      </c>
      <c r="R31" t="s">
        <v>70</v>
      </c>
      <c r="T31" t="s">
        <v>71</v>
      </c>
      <c r="U31" t="s">
        <v>72</v>
      </c>
      <c r="V31" t="s">
        <v>71</v>
      </c>
      <c r="W31" t="s">
        <v>72</v>
      </c>
    </row>
    <row r="32" spans="1:141" x14ac:dyDescent="0.15">
      <c r="Q32">
        <f>CORREL(B2:O16,B35:O49)</f>
        <v>0.22403678158713786</v>
      </c>
      <c r="R32">
        <f>CORREL(B2:O16,B71:O85)</f>
        <v>0.27962024295566434</v>
      </c>
      <c r="T32">
        <f>Q32*SQRT(68)/SQRT(1-Q32^2)</f>
        <v>1.8956405034215871</v>
      </c>
      <c r="U32">
        <f>TDIST(ABS(T32),68,2)</f>
        <v>6.2258275177690704E-2</v>
      </c>
      <c r="V32">
        <f>R32*SQRT(68)/SQRT(1-R32^2)</f>
        <v>2.4016060223219906</v>
      </c>
      <c r="W32">
        <f>TDIST(ABS(V32),68,2)</f>
        <v>1.9061849968388399E-2</v>
      </c>
    </row>
    <row r="33" spans="1:40" x14ac:dyDescent="0.15">
      <c r="A33" s="2" t="s">
        <v>44</v>
      </c>
      <c r="Q33" t="s">
        <v>73</v>
      </c>
      <c r="R33" t="s">
        <v>74</v>
      </c>
      <c r="T33" t="s">
        <v>75</v>
      </c>
      <c r="V33" t="s">
        <v>76</v>
      </c>
    </row>
    <row r="34" spans="1:40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0.23236164020953864</v>
      </c>
      <c r="R34">
        <f>CORREL(B17:O31,B86:O100)</f>
        <v>0.27963219707386583</v>
      </c>
      <c r="T34" t="s">
        <v>71</v>
      </c>
      <c r="U34" t="s">
        <v>72</v>
      </c>
      <c r="V34" t="s">
        <v>71</v>
      </c>
      <c r="W34" t="s">
        <v>72</v>
      </c>
    </row>
    <row r="35" spans="1:40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1.970023784937089</v>
      </c>
      <c r="U35">
        <f>TDIST(ABS(T35),68,2)</f>
        <v>5.2909872146767421E-2</v>
      </c>
      <c r="V35">
        <f>R34*SQRT(68)/SQRT(1-R34^2)</f>
        <v>2.4017174031548421</v>
      </c>
      <c r="W35">
        <f>TDIST(ABS(V35),68,2)</f>
        <v>1.9056513310579219E-2</v>
      </c>
      <c r="Z35" t="s">
        <v>52</v>
      </c>
      <c r="AD35" t="s">
        <v>91</v>
      </c>
      <c r="AH35" t="s">
        <v>112</v>
      </c>
      <c r="AL35" t="s">
        <v>112</v>
      </c>
    </row>
    <row r="36" spans="1:40" ht="14.25" thickBot="1" x14ac:dyDescent="0.2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77</v>
      </c>
      <c r="Z36" t="s">
        <v>92</v>
      </c>
      <c r="AD36" t="s">
        <v>92</v>
      </c>
    </row>
    <row r="37" spans="1:40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78</v>
      </c>
      <c r="Y37" s="12"/>
      <c r="AH37" s="14"/>
      <c r="AI37" s="14" t="s">
        <v>93</v>
      </c>
      <c r="AJ37" s="14" t="s">
        <v>94</v>
      </c>
      <c r="AL37" s="14"/>
      <c r="AM37" s="14" t="s">
        <v>93</v>
      </c>
      <c r="AN37" s="14" t="s">
        <v>94</v>
      </c>
    </row>
    <row r="38" spans="1:40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79</v>
      </c>
      <c r="S38" t="s">
        <v>60</v>
      </c>
      <c r="T38" t="s">
        <v>80</v>
      </c>
      <c r="U38" t="s">
        <v>61</v>
      </c>
      <c r="Z38" s="14"/>
      <c r="AA38" s="14" t="s">
        <v>93</v>
      </c>
      <c r="AB38" s="14" t="s">
        <v>94</v>
      </c>
      <c r="AD38" s="14"/>
      <c r="AE38" s="14" t="s">
        <v>93</v>
      </c>
      <c r="AF38" s="14" t="s">
        <v>94</v>
      </c>
      <c r="AH38" t="s">
        <v>95</v>
      </c>
      <c r="AI38">
        <v>2.5638163177587963</v>
      </c>
      <c r="AJ38">
        <v>2.0853545938112887</v>
      </c>
      <c r="AL38" t="s">
        <v>95</v>
      </c>
      <c r="AM38">
        <v>1.9031388289863469</v>
      </c>
      <c r="AN38">
        <v>1.3350163337848489</v>
      </c>
    </row>
    <row r="39" spans="1:40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81</v>
      </c>
      <c r="R39" s="12">
        <f>CORREL(B2:O6,B35:O39)</f>
        <v>0.31103089358930419</v>
      </c>
      <c r="S39" s="12">
        <f>CORREL(B7:O16,B40:O49)</f>
        <v>-0.20221353268346118</v>
      </c>
      <c r="T39" s="12">
        <f>CORREL(B2:O6,B71:O75)</f>
        <v>-2.3808803830566196E-2</v>
      </c>
      <c r="U39" s="12">
        <f>CORREL(B7:O16,B76:O85)</f>
        <v>2.4717775780091211E-2</v>
      </c>
      <c r="Z39" t="s">
        <v>95</v>
      </c>
      <c r="AA39">
        <v>2.5638163177587963</v>
      </c>
      <c r="AB39">
        <v>2.0853545938112887</v>
      </c>
      <c r="AD39" t="s">
        <v>95</v>
      </c>
      <c r="AE39">
        <v>1.9031388289863469</v>
      </c>
      <c r="AF39">
        <v>1.3350163337848489</v>
      </c>
      <c r="AH39" t="s">
        <v>96</v>
      </c>
      <c r="AI39">
        <v>8.3192577712612292E-2</v>
      </c>
      <c r="AJ39">
        <v>0.14159907758108756</v>
      </c>
      <c r="AL39" t="s">
        <v>96</v>
      </c>
      <c r="AM39">
        <v>0.33905185919273995</v>
      </c>
      <c r="AN39">
        <v>0.24883280389373141</v>
      </c>
    </row>
    <row r="40" spans="1:40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82</v>
      </c>
      <c r="R40" s="12">
        <f>CORREL(B17:O21,B50:O54)</f>
        <v>0.50500708178569609</v>
      </c>
      <c r="S40" s="12">
        <f>CORREL(B22:O31,B55:O64)</f>
        <v>-0.17645035666288725</v>
      </c>
      <c r="T40" s="12">
        <f>CORREL(B17:O21,B86:O90)</f>
        <v>0.56401331644986608</v>
      </c>
      <c r="U40" s="12">
        <f>CORREL(B22:O31,B91:O100)</f>
        <v>-7.2367176340746492E-2</v>
      </c>
      <c r="Z40" t="s">
        <v>96</v>
      </c>
      <c r="AA40">
        <v>8.3192577712612292E-2</v>
      </c>
      <c r="AB40">
        <v>0.14159907758108756</v>
      </c>
      <c r="AD40" t="s">
        <v>96</v>
      </c>
      <c r="AE40">
        <v>0.33905185919273995</v>
      </c>
      <c r="AF40">
        <v>0.24883280389373141</v>
      </c>
      <c r="AH40" t="s">
        <v>97</v>
      </c>
      <c r="AI40">
        <v>70</v>
      </c>
      <c r="AJ40">
        <v>140</v>
      </c>
      <c r="AL40" t="s">
        <v>97</v>
      </c>
      <c r="AM40">
        <v>70</v>
      </c>
      <c r="AN40">
        <v>140</v>
      </c>
    </row>
    <row r="41" spans="1:40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97</v>
      </c>
      <c r="AA41">
        <v>70</v>
      </c>
      <c r="AB41">
        <v>140</v>
      </c>
      <c r="AD41" t="s">
        <v>97</v>
      </c>
      <c r="AE41">
        <v>70</v>
      </c>
      <c r="AF41">
        <v>140</v>
      </c>
      <c r="AH41" t="s">
        <v>99</v>
      </c>
      <c r="AI41">
        <v>0</v>
      </c>
      <c r="AL41" t="s">
        <v>99</v>
      </c>
      <c r="AM41">
        <v>0</v>
      </c>
    </row>
    <row r="42" spans="1:40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83</v>
      </c>
      <c r="S42" t="s">
        <v>84</v>
      </c>
      <c r="U42" t="s">
        <v>85</v>
      </c>
      <c r="W42" t="s">
        <v>86</v>
      </c>
      <c r="Z42" t="s">
        <v>98</v>
      </c>
      <c r="AA42">
        <v>0.12222384445164144</v>
      </c>
      <c r="AD42" t="s">
        <v>98</v>
      </c>
      <c r="AE42">
        <v>0.27876124050734485</v>
      </c>
      <c r="AH42" t="s">
        <v>100</v>
      </c>
      <c r="AI42">
        <v>174</v>
      </c>
      <c r="AL42" t="s">
        <v>100</v>
      </c>
      <c r="AM42">
        <v>121</v>
      </c>
    </row>
    <row r="43" spans="1:40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71</v>
      </c>
      <c r="R43" t="s">
        <v>72</v>
      </c>
      <c r="S43" t="s">
        <v>71</v>
      </c>
      <c r="T43" t="s">
        <v>72</v>
      </c>
      <c r="U43" t="s">
        <v>71</v>
      </c>
      <c r="V43" t="s">
        <v>72</v>
      </c>
      <c r="W43" t="s">
        <v>71</v>
      </c>
      <c r="X43" t="s">
        <v>72</v>
      </c>
      <c r="Z43" t="s">
        <v>99</v>
      </c>
      <c r="AA43">
        <v>0</v>
      </c>
      <c r="AD43" t="s">
        <v>99</v>
      </c>
      <c r="AE43">
        <v>0</v>
      </c>
      <c r="AH43" t="s">
        <v>101</v>
      </c>
      <c r="AI43">
        <v>10.2010993377585</v>
      </c>
      <c r="AL43" t="s">
        <v>101</v>
      </c>
      <c r="AM43">
        <v>6.982018682521673</v>
      </c>
    </row>
    <row r="44" spans="1:40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2.6986815962931052</v>
      </c>
      <c r="R44">
        <f>TDIST(ABS(Q44),68,2)</f>
        <v>8.7732558693051736E-3</v>
      </c>
      <c r="S44">
        <f>S39*SQRT(138)/SQRT(1-S39^2)</f>
        <v>-2.4255800997167802</v>
      </c>
      <c r="T44">
        <f>TDIST(ABS(S44),138,2)</f>
        <v>1.6576064680880683E-2</v>
      </c>
      <c r="U44">
        <f>T39*SQRT(68)/SQRT(1-T39^2)</f>
        <v>-0.19638809611008001</v>
      </c>
      <c r="V44">
        <f>TDIST(ABS(U44),68,2)</f>
        <v>0.84489216059207217</v>
      </c>
      <c r="W44">
        <f>U39*SQRT(138)/SQRT(1-U39^2)</f>
        <v>0.29045686275417532</v>
      </c>
      <c r="X44">
        <f>TDIST(ABS(W44),138,2)</f>
        <v>0.77190277647375993</v>
      </c>
      <c r="Z44" t="s">
        <v>100</v>
      </c>
      <c r="AA44">
        <v>208</v>
      </c>
      <c r="AD44" t="s">
        <v>100</v>
      </c>
      <c r="AE44">
        <v>208</v>
      </c>
      <c r="AH44" t="s">
        <v>102</v>
      </c>
      <c r="AI44">
        <v>9.4799445641916739E-20</v>
      </c>
      <c r="AL44" t="s">
        <v>102</v>
      </c>
      <c r="AM44">
        <v>8.4414510405655565E-11</v>
      </c>
    </row>
    <row r="45" spans="1:40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87</v>
      </c>
      <c r="S45" t="s">
        <v>88</v>
      </c>
      <c r="U45" t="s">
        <v>89</v>
      </c>
      <c r="W45" t="s">
        <v>90</v>
      </c>
      <c r="Z45" t="s">
        <v>101</v>
      </c>
      <c r="AA45">
        <v>9.3491606231779656</v>
      </c>
      <c r="AD45" t="s">
        <v>101</v>
      </c>
      <c r="AE45">
        <v>7.3507081843070781</v>
      </c>
      <c r="AH45" t="s">
        <v>103</v>
      </c>
      <c r="AI45">
        <v>1.6536580165162231</v>
      </c>
      <c r="AL45" t="s">
        <v>103</v>
      </c>
      <c r="AM45">
        <v>1.6575443190874708</v>
      </c>
    </row>
    <row r="46" spans="1:40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71</v>
      </c>
      <c r="R46" t="s">
        <v>72</v>
      </c>
      <c r="S46" t="s">
        <v>71</v>
      </c>
      <c r="T46" t="s">
        <v>72</v>
      </c>
      <c r="U46" t="s">
        <v>71</v>
      </c>
      <c r="V46" t="s">
        <v>72</v>
      </c>
      <c r="W46" t="s">
        <v>71</v>
      </c>
      <c r="X46" t="s">
        <v>72</v>
      </c>
      <c r="Z46" t="s">
        <v>102</v>
      </c>
      <c r="AA46">
        <v>7.1756118117694612E-18</v>
      </c>
      <c r="AD46" t="s">
        <v>102</v>
      </c>
      <c r="AE46">
        <v>2.218991913207352E-12</v>
      </c>
      <c r="AH46" t="s">
        <v>104</v>
      </c>
      <c r="AI46">
        <v>1.8959889128383348E-19</v>
      </c>
      <c r="AL46" t="s">
        <v>104</v>
      </c>
      <c r="AM46">
        <v>1.6882902081131113E-10</v>
      </c>
    </row>
    <row r="47" spans="1:40" ht="14.25" thickBot="1" x14ac:dyDescent="0.2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4.824842712674279</v>
      </c>
      <c r="R47">
        <f>TDIST(ABS(Q47),68,2)</f>
        <v>8.2583112496202795E-6</v>
      </c>
      <c r="S47">
        <f>S40*SQRT(138)/SQRT(1-S40^2)</f>
        <v>-2.1058643337216791</v>
      </c>
      <c r="T47">
        <f>TDIST(ABS(S47),138,2)</f>
        <v>3.7027285339494925E-2</v>
      </c>
      <c r="U47">
        <f>T40*SQRT(68)/SQRT(1-T40^2)</f>
        <v>5.6323155567538103</v>
      </c>
      <c r="V47">
        <f>TDIST(ABS(U47),68,2)</f>
        <v>3.686653534392939E-7</v>
      </c>
      <c r="W47">
        <f>U40*SQRT(138)/SQRT(1-U40^2)</f>
        <v>-0.85235666354097817</v>
      </c>
      <c r="X47">
        <f>TDIST(ABS(W47),138,2)</f>
        <v>0.3954930028058633</v>
      </c>
      <c r="Z47" t="s">
        <v>103</v>
      </c>
      <c r="AA47">
        <v>1.6522123760661407</v>
      </c>
      <c r="AD47" t="s">
        <v>103</v>
      </c>
      <c r="AE47">
        <v>1.6522123760661407</v>
      </c>
      <c r="AH47" s="13" t="s">
        <v>105</v>
      </c>
      <c r="AI47" s="13">
        <v>1.9736914397560745</v>
      </c>
      <c r="AJ47" s="13"/>
      <c r="AL47" s="13" t="s">
        <v>105</v>
      </c>
      <c r="AM47" s="13">
        <v>1.9797637625053852</v>
      </c>
      <c r="AN47" s="13"/>
    </row>
    <row r="48" spans="1:40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104</v>
      </c>
      <c r="AA48">
        <v>1.4351223623538922E-17</v>
      </c>
      <c r="AD48" t="s">
        <v>104</v>
      </c>
      <c r="AE48">
        <v>4.437983826414704E-12</v>
      </c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3" t="s">
        <v>105</v>
      </c>
      <c r="AA49" s="13">
        <v>1.9714346585202402</v>
      </c>
      <c r="AB49" s="13"/>
      <c r="AD49" s="13" t="s">
        <v>105</v>
      </c>
      <c r="AE49" s="13">
        <v>1.9714346585202402</v>
      </c>
      <c r="AF49" s="13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  <c r="P50" s="3"/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7" x14ac:dyDescent="0.15">
      <c r="A65" s="2" t="s">
        <v>46</v>
      </c>
      <c r="B65">
        <f t="shared" ref="B65:O65" si="26">CORREL(B2:B16,B35:B49)</f>
        <v>-0.60712501498676452</v>
      </c>
      <c r="C65">
        <f t="shared" si="26"/>
        <v>0.75235056326451477</v>
      </c>
      <c r="D65">
        <f t="shared" si="26"/>
        <v>-2.079238740486599E-2</v>
      </c>
      <c r="E65">
        <f t="shared" si="26"/>
        <v>0.70529946078505268</v>
      </c>
      <c r="F65">
        <f t="shared" si="26"/>
        <v>0.7936880914643043</v>
      </c>
      <c r="G65">
        <f t="shared" si="26"/>
        <v>0.34881818429685324</v>
      </c>
      <c r="H65">
        <f t="shared" si="26"/>
        <v>0.88809804267684456</v>
      </c>
      <c r="I65">
        <f t="shared" si="26"/>
        <v>0.48665550586783618</v>
      </c>
      <c r="J65">
        <f t="shared" si="26"/>
        <v>0.46105238041401314</v>
      </c>
      <c r="K65">
        <f t="shared" si="26"/>
        <v>0.78916994308954247</v>
      </c>
      <c r="L65">
        <f t="shared" si="26"/>
        <v>0.51937087467278664</v>
      </c>
      <c r="M65">
        <f t="shared" si="26"/>
        <v>0.45622446073516115</v>
      </c>
      <c r="N65">
        <f t="shared" si="26"/>
        <v>0.6959667672417662</v>
      </c>
      <c r="O65">
        <f t="shared" si="26"/>
        <v>0.76377676494357327</v>
      </c>
    </row>
    <row r="66" spans="1:17" x14ac:dyDescent="0.15">
      <c r="A66" s="2" t="s">
        <v>47</v>
      </c>
      <c r="B66">
        <f t="shared" ref="B66:O66" si="27">CORREL(B17:B31,B50:B64)</f>
        <v>9.2820405210262427E-2</v>
      </c>
      <c r="C66">
        <f t="shared" si="27"/>
        <v>0.86322673284476215</v>
      </c>
      <c r="D66">
        <f t="shared" si="27"/>
        <v>0.76767760679758923</v>
      </c>
      <c r="E66">
        <f t="shared" si="27"/>
        <v>0.44807289101700593</v>
      </c>
      <c r="F66">
        <f t="shared" si="27"/>
        <v>0.80499899097275973</v>
      </c>
      <c r="G66">
        <f t="shared" si="27"/>
        <v>0.47709949609918956</v>
      </c>
      <c r="H66">
        <f t="shared" si="27"/>
        <v>0.78926285269672458</v>
      </c>
      <c r="I66">
        <f t="shared" si="27"/>
        <v>0.52433113241800233</v>
      </c>
      <c r="J66">
        <f t="shared" si="27"/>
        <v>-0.16561242369896706</v>
      </c>
      <c r="K66">
        <f t="shared" si="27"/>
        <v>0.76331103093729313</v>
      </c>
      <c r="L66">
        <f t="shared" si="27"/>
        <v>0.75095828895829575</v>
      </c>
      <c r="M66">
        <f t="shared" si="27"/>
        <v>0.81156560565388614</v>
      </c>
      <c r="N66">
        <f t="shared" si="27"/>
        <v>0.84924748615637558</v>
      </c>
      <c r="O66">
        <f t="shared" si="27"/>
        <v>0.75158427382098614</v>
      </c>
    </row>
    <row r="67" spans="1:17" x14ac:dyDescent="0.15">
      <c r="A67" s="2"/>
    </row>
    <row r="69" spans="1:17" x14ac:dyDescent="0.15">
      <c r="A69" s="2" t="s">
        <v>45</v>
      </c>
    </row>
    <row r="70" spans="1:17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7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7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7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7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7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7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7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7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  <c r="Q78" t="s">
        <v>46</v>
      </c>
    </row>
    <row r="79" spans="1:17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  <c r="Q79">
        <f>CORREL(B2:O16,B71:O85)</f>
        <v>0.27962024295566434</v>
      </c>
    </row>
    <row r="80" spans="1:17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7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  <c r="Q81" t="s">
        <v>47</v>
      </c>
    </row>
    <row r="82" spans="1:17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  <c r="Q82">
        <f>CORREL(B17:O31,B86:O100)</f>
        <v>0.27963219707386583</v>
      </c>
    </row>
    <row r="83" spans="1:17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7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7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7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7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7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7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7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7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7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7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7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7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7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46</v>
      </c>
      <c r="B101">
        <f t="shared" ref="B101:O101" si="28">CORREL(B2:B16,B71:B85)</f>
        <v>-0.3603419780859401</v>
      </c>
      <c r="C101">
        <f t="shared" si="28"/>
        <v>0.69832485218509244</v>
      </c>
      <c r="D101">
        <f t="shared" si="28"/>
        <v>3.9072137768569749E-2</v>
      </c>
      <c r="E101">
        <f t="shared" si="28"/>
        <v>0.77826781601539163</v>
      </c>
      <c r="F101">
        <f t="shared" si="28"/>
        <v>0.85263219572911786</v>
      </c>
      <c r="G101">
        <f t="shared" si="28"/>
        <v>0.2686823062706708</v>
      </c>
      <c r="H101">
        <f t="shared" si="28"/>
        <v>0.95287832424434371</v>
      </c>
      <c r="I101">
        <f t="shared" si="28"/>
        <v>0.34043520113840481</v>
      </c>
      <c r="J101">
        <f t="shared" si="28"/>
        <v>0.58334845820201875</v>
      </c>
      <c r="K101">
        <f t="shared" si="28"/>
        <v>0.79990490012703686</v>
      </c>
      <c r="L101">
        <f t="shared" si="28"/>
        <v>0.72910194911182502</v>
      </c>
      <c r="M101">
        <f t="shared" si="28"/>
        <v>0.71166660459431064</v>
      </c>
      <c r="N101">
        <f t="shared" si="28"/>
        <v>0.38908237061605933</v>
      </c>
      <c r="O101">
        <f t="shared" si="28"/>
        <v>0.81057998322855196</v>
      </c>
    </row>
    <row r="102" spans="1:15" x14ac:dyDescent="0.15">
      <c r="A102" s="4" t="s">
        <v>47</v>
      </c>
      <c r="B102">
        <f t="shared" ref="B102:O102" si="29">CORREL(B50:B64,B86:B100)</f>
        <v>0.49076285018167559</v>
      </c>
      <c r="C102">
        <f t="shared" si="29"/>
        <v>0.93039497166541207</v>
      </c>
      <c r="D102">
        <f t="shared" si="29"/>
        <v>0.21283800174212827</v>
      </c>
      <c r="E102">
        <f t="shared" si="29"/>
        <v>0.60779881578965012</v>
      </c>
      <c r="F102">
        <f t="shared" si="29"/>
        <v>0.85403809305722755</v>
      </c>
      <c r="G102">
        <f t="shared" si="29"/>
        <v>0.81314037270029305</v>
      </c>
      <c r="H102">
        <f t="shared" si="29"/>
        <v>0.8835086722015526</v>
      </c>
      <c r="I102">
        <f t="shared" si="29"/>
        <v>0.70528727206928143</v>
      </c>
      <c r="J102">
        <f t="shared" si="29"/>
        <v>0.22876147129340274</v>
      </c>
      <c r="K102">
        <f t="shared" si="29"/>
        <v>0.66719860802097231</v>
      </c>
      <c r="L102">
        <f t="shared" si="29"/>
        <v>0.83676119973999574</v>
      </c>
      <c r="M102">
        <f t="shared" si="29"/>
        <v>0.70241057693068665</v>
      </c>
      <c r="N102">
        <f t="shared" si="29"/>
        <v>0.81954603988674635</v>
      </c>
      <c r="O102">
        <f t="shared" si="29"/>
        <v>0.9173480683188231</v>
      </c>
    </row>
  </sheetData>
  <phoneticPr fontId="2"/>
  <conditionalFormatting sqref="B2:O31">
    <cfRule type="expression" dxfId="4" priority="1">
      <formula>B71&gt;=81</formula>
    </cfRule>
    <cfRule type="expression" dxfId="3" priority="2">
      <formula>AND(B71&gt;=61,B71&lt;=80)</formula>
    </cfRule>
    <cfRule type="expression" dxfId="2" priority="3">
      <formula>AND(B71&gt;=41,B71&lt;=60)</formula>
    </cfRule>
    <cfRule type="expression" dxfId="1" priority="4">
      <formula>AND(B71&gt;=21,B71&lt;=40)</formula>
    </cfRule>
    <cfRule type="expression" dxfId="0" priority="5">
      <formula>B71&lt;=20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2023-02-01T03:25:10Z</dcterms:created>
  <dcterms:modified xsi:type="dcterms:W3CDTF">2023-02-12T10:37:11Z</dcterms:modified>
</cp:coreProperties>
</file>