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vestments\"/>
    </mc:Choice>
  </mc:AlternateContent>
  <bookViews>
    <workbookView xWindow="0" yWindow="0" windowWidth="23040" windowHeight="9084" activeTab="1"/>
  </bookViews>
  <sheets>
    <sheet name="Portfolio exposure" sheetId="4" r:id="rId1"/>
    <sheet name="Holdings" sheetId="1" r:id="rId2"/>
    <sheet name="Factor Exposures" sheetId="2" r:id="rId3"/>
  </sheets>
  <definedNames>
    <definedName name="_xlnm.Print_Area" localSheetId="1">Holdings!$A$1:$M$29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K2" i="2"/>
  <c r="L2" i="2"/>
  <c r="M2" i="2"/>
  <c r="N2" i="2"/>
  <c r="O2" i="2"/>
  <c r="F18" i="1"/>
  <c r="I18" i="1"/>
  <c r="I25" i="1"/>
  <c r="G2" i="1"/>
  <c r="F2" i="1"/>
  <c r="I2" i="1"/>
  <c r="G3" i="1"/>
  <c r="F3" i="1"/>
  <c r="I3" i="1"/>
  <c r="G4" i="1"/>
  <c r="F4" i="1"/>
  <c r="I4" i="1"/>
  <c r="G5" i="1"/>
  <c r="F5" i="1"/>
  <c r="I5" i="1"/>
  <c r="G6" i="1"/>
  <c r="F6" i="1"/>
  <c r="I6" i="1"/>
  <c r="G7" i="1"/>
  <c r="F7" i="1"/>
  <c r="I7" i="1"/>
  <c r="G8" i="1"/>
  <c r="F8" i="1"/>
  <c r="I8" i="1"/>
  <c r="G9" i="1"/>
  <c r="F9" i="1"/>
  <c r="I9" i="1"/>
  <c r="G10" i="1"/>
  <c r="F10" i="1"/>
  <c r="I10" i="1"/>
  <c r="G11" i="1"/>
  <c r="F11" i="1"/>
  <c r="I11" i="1"/>
  <c r="G13" i="1"/>
  <c r="F13" i="1"/>
  <c r="I13" i="1"/>
  <c r="G15" i="1"/>
  <c r="F15" i="1"/>
  <c r="I15" i="1"/>
  <c r="G16" i="1"/>
  <c r="F16" i="1"/>
  <c r="I16" i="1"/>
  <c r="G17" i="1"/>
  <c r="F17" i="1"/>
  <c r="I17" i="1"/>
  <c r="G19" i="1"/>
  <c r="F19" i="1"/>
  <c r="I19" i="1"/>
  <c r="G20" i="1"/>
  <c r="F20" i="1"/>
  <c r="I20" i="1"/>
  <c r="G12" i="1"/>
  <c r="F12" i="1"/>
  <c r="I12" i="1"/>
  <c r="G14" i="1"/>
  <c r="F14" i="1"/>
  <c r="I14" i="1"/>
  <c r="I23" i="1"/>
  <c r="I24" i="1"/>
  <c r="I29" i="1"/>
  <c r="I35" i="1"/>
  <c r="J35" i="1"/>
  <c r="I28" i="1"/>
  <c r="I34" i="1"/>
  <c r="J34" i="1"/>
  <c r="AG21" i="1"/>
  <c r="AI21" i="1"/>
  <c r="AH3" i="1"/>
  <c r="AH6" i="1"/>
  <c r="AH8" i="1"/>
  <c r="AH14" i="1"/>
  <c r="AH21" i="1"/>
  <c r="R5" i="1"/>
  <c r="S5" i="1"/>
  <c r="T5" i="1"/>
  <c r="AE20" i="1"/>
  <c r="AD20" i="1"/>
  <c r="AC20" i="1"/>
  <c r="AB20" i="1"/>
  <c r="AA1" i="1"/>
  <c r="AA20" i="1"/>
  <c r="Z1" i="1"/>
  <c r="Z20" i="1"/>
  <c r="Y1" i="1"/>
  <c r="Y20" i="1"/>
  <c r="X1" i="1"/>
  <c r="X20" i="1"/>
  <c r="W1" i="1"/>
  <c r="W20" i="1"/>
  <c r="V1" i="1"/>
  <c r="V20" i="1"/>
  <c r="U20" i="1"/>
  <c r="T20" i="1"/>
  <c r="S20" i="1"/>
  <c r="R20" i="1"/>
  <c r="Q20" i="1"/>
  <c r="P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AE5" i="1"/>
  <c r="AD5" i="1"/>
  <c r="AC5" i="1"/>
  <c r="AB5" i="1"/>
  <c r="AA5" i="1"/>
  <c r="Z5" i="1"/>
  <c r="Y5" i="1"/>
  <c r="X5" i="1"/>
  <c r="W5" i="1"/>
  <c r="V5" i="1"/>
  <c r="U5" i="1"/>
  <c r="Q5" i="1"/>
  <c r="P5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AE21" i="1"/>
  <c r="AD21" i="1"/>
  <c r="AC21" i="1"/>
  <c r="H18" i="1"/>
  <c r="H2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9" i="1"/>
  <c r="H20" i="1"/>
  <c r="H23" i="1"/>
  <c r="H24" i="1"/>
  <c r="H29" i="1"/>
  <c r="J29" i="1"/>
  <c r="H28" i="1"/>
  <c r="J28" i="1"/>
  <c r="I27" i="1"/>
  <c r="H27" i="1"/>
  <c r="J27" i="1"/>
  <c r="J18" i="1"/>
  <c r="J25" i="1"/>
  <c r="J15" i="1"/>
  <c r="J16" i="1"/>
  <c r="J17" i="1"/>
  <c r="J2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9" i="1"/>
  <c r="J20" i="1"/>
  <c r="J23" i="1"/>
  <c r="P21" i="1"/>
  <c r="V21" i="1"/>
  <c r="P22" i="1"/>
  <c r="AF21" i="1"/>
  <c r="AB21" i="1"/>
  <c r="AA21" i="1"/>
  <c r="Z21" i="1"/>
  <c r="Y21" i="1"/>
  <c r="X21" i="1"/>
  <c r="W21" i="1"/>
  <c r="U21" i="1"/>
  <c r="T21" i="1"/>
  <c r="S21" i="1"/>
  <c r="R21" i="1"/>
  <c r="Q2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9" i="1"/>
  <c r="O20" i="1"/>
  <c r="O21" i="1"/>
  <c r="M21" i="1"/>
  <c r="L2" i="1"/>
  <c r="L3" i="1"/>
  <c r="L4" i="1"/>
  <c r="L5" i="1"/>
  <c r="L6" i="1"/>
  <c r="L7" i="1"/>
  <c r="L8" i="1"/>
  <c r="L9" i="1"/>
  <c r="L10" i="1"/>
  <c r="L11" i="1"/>
  <c r="L13" i="1"/>
  <c r="L15" i="1"/>
  <c r="L16" i="1"/>
  <c r="L17" i="1"/>
  <c r="L20" i="1"/>
  <c r="L21" i="1"/>
  <c r="K2" i="1"/>
  <c r="K3" i="1"/>
  <c r="K6" i="1"/>
  <c r="K7" i="1"/>
  <c r="K8" i="1"/>
  <c r="K9" i="1"/>
  <c r="K10" i="1"/>
  <c r="K15" i="1"/>
  <c r="K16" i="1"/>
  <c r="K17" i="1"/>
  <c r="K20" i="1"/>
  <c r="K21" i="1"/>
  <c r="J21" i="1"/>
  <c r="I21" i="1"/>
  <c r="H21" i="1"/>
  <c r="I31" i="1" a="1"/>
  <c r="I31" i="1"/>
  <c r="J31" i="1"/>
  <c r="I32" i="1"/>
  <c r="J32" i="1"/>
  <c r="I33" i="1"/>
  <c r="J33" i="1"/>
  <c r="K35" i="1"/>
</calcChain>
</file>

<file path=xl/sharedStrings.xml><?xml version="1.0" encoding="utf-8"?>
<sst xmlns="http://schemas.openxmlformats.org/spreadsheetml/2006/main" count="152" uniqueCount="84">
  <si>
    <t>Ticker</t>
  </si>
  <si>
    <t>Account</t>
  </si>
  <si>
    <t>401(k) Plan</t>
  </si>
  <si>
    <t>VEMPX</t>
  </si>
  <si>
    <t>VIIIX</t>
  </si>
  <si>
    <t>VBMPX</t>
  </si>
  <si>
    <t>VTPSX</t>
  </si>
  <si>
    <t>WACSX</t>
  </si>
  <si>
    <t>Price</t>
  </si>
  <si>
    <t>VFINX</t>
  </si>
  <si>
    <t>VGTSX</t>
  </si>
  <si>
    <t>PTTRX</t>
  </si>
  <si>
    <t>Health Savings</t>
  </si>
  <si>
    <t>Name</t>
  </si>
  <si>
    <t>Vanguard Institutional Index Instl Pl</t>
  </si>
  <si>
    <t>Vanguard Total Bond Market Idx InstlPls</t>
  </si>
  <si>
    <t>Vanguard Total Intl Stock Idx InstlPls</t>
  </si>
  <si>
    <t>Western Asset Core Bond IS</t>
  </si>
  <si>
    <t>BAC</t>
  </si>
  <si>
    <t>Cash</t>
  </si>
  <si>
    <t>VWO</t>
  </si>
  <si>
    <t>IVV</t>
  </si>
  <si>
    <t>VEU</t>
  </si>
  <si>
    <t>VUG</t>
  </si>
  <si>
    <t>VTV</t>
  </si>
  <si>
    <t>INTC</t>
  </si>
  <si>
    <t>AMAG</t>
  </si>
  <si>
    <t>ALJ</t>
  </si>
  <si>
    <t>ALBKY</t>
  </si>
  <si>
    <t>Taxable</t>
  </si>
  <si>
    <t>Market Value</t>
  </si>
  <si>
    <t>PIMCO Total Return Instl</t>
  </si>
  <si>
    <t>Vanguard FTSE Emerging Markets ETF</t>
  </si>
  <si>
    <t>iShares Core S&amp;P 500</t>
  </si>
  <si>
    <t>Vanguard FTSE All-World ex-US ETF</t>
  </si>
  <si>
    <t>Vanguard Growth ETF</t>
  </si>
  <si>
    <t>Vanguard Value ETF</t>
  </si>
  <si>
    <t>Intel Corp</t>
  </si>
  <si>
    <t>AMAG Pharmaceuticals Inc</t>
  </si>
  <si>
    <t>Alon USA Energy Inc</t>
  </si>
  <si>
    <t>Alpha Bank AE ADR</t>
  </si>
  <si>
    <t>Asset class</t>
  </si>
  <si>
    <t>Equity</t>
  </si>
  <si>
    <t>Fixed Income</t>
  </si>
  <si>
    <t>Equity %</t>
  </si>
  <si>
    <t>Fixed Income %</t>
  </si>
  <si>
    <t>Cash %</t>
  </si>
  <si>
    <t>Mkt-RF</t>
  </si>
  <si>
    <t>SMB</t>
  </si>
  <si>
    <t>HML</t>
  </si>
  <si>
    <t>RMW</t>
  </si>
  <si>
    <t>CMA</t>
  </si>
  <si>
    <t>Mom</t>
  </si>
  <si>
    <t>Risk-free</t>
  </si>
  <si>
    <t>Intercept</t>
  </si>
  <si>
    <t>tickers</t>
  </si>
  <si>
    <t>Expense Ratio</t>
  </si>
  <si>
    <t>DSEEX</t>
  </si>
  <si>
    <t>VTI</t>
  </si>
  <si>
    <t>Yield</t>
  </si>
  <si>
    <t>Shares (Current)</t>
  </si>
  <si>
    <t>Shares (Proposed)</t>
  </si>
  <si>
    <t>Diff</t>
  </si>
  <si>
    <t>WFSPX</t>
  </si>
  <si>
    <t>Bank of America Corporation</t>
  </si>
  <si>
    <t>DoubleLine Shiller Enhanced CAPE® I</t>
  </si>
  <si>
    <t>BlackRock S&amp;P 500 Index K</t>
  </si>
  <si>
    <t>Multiple</t>
  </si>
  <si>
    <t>Tax cost ratio</t>
  </si>
  <si>
    <t>IT_GOVT</t>
  </si>
  <si>
    <t>LT_GOVT</t>
  </si>
  <si>
    <t>LT_CORP</t>
  </si>
  <si>
    <t>US_MBS</t>
  </si>
  <si>
    <t>Developed</t>
  </si>
  <si>
    <t>EM</t>
  </si>
  <si>
    <t>US</t>
  </si>
  <si>
    <t>US Equity %</t>
  </si>
  <si>
    <t>Intl Dev Equity %</t>
  </si>
  <si>
    <t>EM Equity %</t>
  </si>
  <si>
    <t>Bmk</t>
  </si>
  <si>
    <t>Portfolio</t>
  </si>
  <si>
    <t>BBW</t>
  </si>
  <si>
    <t>Build-A-Bear Workshop Inc</t>
  </si>
  <si>
    <t>VXUS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</si>
</sst>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"/>
    <numFmt numFmtId="165" formatCode="0.000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55555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9"/>
      <name val="Calibri"/>
      <family val="2"/>
      <scheme val="minor"/>
    </font>
    <font>
      <sz val="9"/>
      <color theme="5"/>
      <name val="Calibri"/>
      <family val="2"/>
      <scheme val="minor"/>
    </font>
    <font>
      <sz val="9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43" fontId="3" fillId="0" borderId="0" xfId="1" applyFont="1"/>
    <xf numFmtId="164" fontId="3" fillId="0" borderId="0" xfId="0" applyNumberFormat="1" applyFont="1"/>
    <xf numFmtId="9" fontId="3" fillId="0" borderId="0" xfId="2" applyNumberFormat="1" applyFont="1"/>
    <xf numFmtId="9" fontId="3" fillId="0" borderId="0" xfId="2" applyFont="1"/>
    <xf numFmtId="10" fontId="3" fillId="0" borderId="0" xfId="2" applyNumberFormat="1" applyFont="1"/>
    <xf numFmtId="2" fontId="3" fillId="0" borderId="0" xfId="2" applyNumberFormat="1" applyFont="1"/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11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2" fontId="3" fillId="0" borderId="1" xfId="2" applyNumberFormat="1" applyFont="1" applyBorder="1"/>
    <xf numFmtId="10" fontId="3" fillId="0" borderId="1" xfId="2" applyNumberFormat="1" applyFont="1" applyBorder="1"/>
    <xf numFmtId="43" fontId="3" fillId="0" borderId="1" xfId="1" applyFont="1" applyBorder="1"/>
    <xf numFmtId="165" fontId="3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wrapText="1"/>
    </xf>
    <xf numFmtId="164" fontId="6" fillId="0" borderId="0" xfId="0" applyNumberFormat="1" applyFont="1"/>
    <xf numFmtId="0" fontId="6" fillId="0" borderId="0" xfId="0" applyFont="1"/>
    <xf numFmtId="43" fontId="6" fillId="0" borderId="0" xfId="1" applyFont="1"/>
    <xf numFmtId="2" fontId="6" fillId="0" borderId="0" xfId="2" applyNumberFormat="1" applyFont="1"/>
    <xf numFmtId="0" fontId="7" fillId="0" borderId="0" xfId="0" applyFont="1"/>
    <xf numFmtId="43" fontId="7" fillId="0" borderId="0" xfId="1" applyFont="1"/>
    <xf numFmtId="164" fontId="7" fillId="0" borderId="0" xfId="0" applyNumberFormat="1" applyFont="1"/>
    <xf numFmtId="2" fontId="7" fillId="0" borderId="0" xfId="2" applyNumberFormat="1" applyFont="1"/>
    <xf numFmtId="0" fontId="8" fillId="0" borderId="0" xfId="0" applyFont="1"/>
    <xf numFmtId="43" fontId="8" fillId="0" borderId="0" xfId="1" applyFont="1"/>
    <xf numFmtId="164" fontId="8" fillId="0" borderId="0" xfId="0" applyNumberFormat="1" applyFont="1"/>
    <xf numFmtId="2" fontId="8" fillId="0" borderId="0" xfId="2" applyNumberFormat="1" applyFont="1"/>
    <xf numFmtId="10" fontId="3" fillId="0" borderId="0" xfId="0" applyNumberFormat="1" applyFont="1"/>
    <xf numFmtId="9" fontId="3" fillId="0" borderId="0" xfId="0" applyNumberFormat="1" applyFont="1"/>
    <xf numFmtId="166" fontId="3" fillId="0" borderId="0" xfId="2" applyNumberFormat="1" applyFont="1"/>
    <xf numFmtId="9" fontId="3" fillId="0" borderId="1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2.210112816008944</v>
        <stp/>
        <stp>##V3_BDPV12</stp>
        <stp>WFSPX US EQUITY</stp>
        <stp>EQY_DVD_YLD_12M</stp>
        <stp>[My Portfolio.xlsx]Holdings!R4C12</stp>
        <tr r="L4" s="1"/>
      </tp>
      <tp>
        <v>2.7893203042487489</v>
        <stp/>
        <stp>##V3_BDPV12</stp>
        <stp>VTPSX US EQUITY</stp>
        <stp>EQY_DVD_YLD_12M</stp>
        <stp>[My Portfolio.xlsx]Holdings!R3C12</stp>
        <tr r="L3" s="1"/>
      </tp>
      <tp>
        <v>2.2897988097601871</v>
        <stp/>
        <stp>##V3_BDPV12</stp>
        <stp>VIIIX US EQUITY</stp>
        <stp>EQY_DVD_YLD_12M</stp>
        <stp>[My Portfolio.xlsx]Holdings!R2C12</stp>
        <tr r="L2" s="1"/>
      </tp>
      <tp>
        <v>35.460999999999999</v>
        <stp/>
        <stp>##V3_BDPV12</stp>
        <stp>INTC US Equity</stp>
        <stp>PX_LAST</stp>
        <stp>[My Portfolio.xlsx]Holdings!R11C7</stp>
        <tr r="G11" s="1"/>
      </tp>
    </main>
    <main first="bloomberg.rtd">
      <tp>
        <v>23.55</v>
        <stp/>
        <stp>##V3_BDPV12</stp>
        <stp>AMAG US Equity</stp>
        <stp>PX_LAST</stp>
        <stp>[My Portfolio.xlsx]Holdings!R12C7</stp>
        <tr r="G12" s="1"/>
      </tp>
      <tp>
        <v>235.12</v>
        <stp/>
        <stp>##V3_BDPV12</stp>
        <stp>IVV US Equity</stp>
        <stp>PX_LAST</stp>
        <stp>[My Portfolio.xlsx]Holdings!R7C7</stp>
        <tr r="G7" s="1"/>
      </tp>
      <tp>
        <v>39.950000000000003</v>
        <stp/>
        <stp>##V3_BDPV12</stp>
        <stp>VWO US Equity</stp>
        <stp>PX_LAST</stp>
        <stp>[My Portfolio.xlsx]Holdings!R6C7</stp>
        <tr r="G6" s="1"/>
      </tp>
      <tp>
        <v>22.56</v>
        <stp/>
        <stp>##V3_BDPV12</stp>
        <stp>BAC US Equity</stp>
        <stp>PX_LAST</stp>
        <stp>[My Portfolio.xlsx]Holdings!R5C7</stp>
        <tr r="G5" s="1"/>
      </tp>
      <tp>
        <v>280.06</v>
        <stp/>
        <stp>##V3_BDPV12</stp>
        <stp>WFSPX US Equity</stp>
        <stp>PX_LAST</stp>
        <stp>[My Portfolio.xlsx]Holdings!R4C7</stp>
        <tr r="G4" s="1"/>
      </tp>
      <tp>
        <v>0.04</v>
        <stp/>
        <stp>##V3_BDPV12</stp>
        <stp>VBMPX US EQUITY</stp>
        <stp>FUND_EXPENSE_RATIO</stp>
        <stp>[My Portfolio.xlsx]Holdings!R16C11</stp>
        <tr r="K16" s="1"/>
      </tp>
      <tp>
        <v>2.5148472120595531</v>
        <stp/>
        <stp>##V3_BDPV12</stp>
        <stp>VBMPX US EQUITY</stp>
        <stp>EQY_DVD_YLD_12M</stp>
        <stp>[My Portfolio.xlsx]Holdings!R16C12</stp>
        <tr r="L16" s="1"/>
      </tp>
      <tp>
        <v>0.44</v>
        <stp/>
        <stp>##V3_BDPV12</stp>
        <stp>WACSX US EQUITY</stp>
        <stp>FUND_EXPENSE_RATIO</stp>
        <stp>[My Portfolio.xlsx]Holdings!R15C11</stp>
        <tr r="K15" s="1"/>
      </tp>
      <tp>
        <v>2.4074008464813232</v>
        <stp/>
        <stp>##V3_BDPV12</stp>
        <stp>WACSX US EQUITY</stp>
        <stp>EQY_DVD_YLD_12M</stp>
        <stp>[My Portfolio.xlsx]Holdings!R15C12</stp>
        <tr r="L15" s="1"/>
      </tp>
      <tp>
        <v>3.0024954501320336</v>
        <stp/>
        <stp>##V3_BDPV12</stp>
        <stp>PTTRX US EQUITY</stp>
        <stp>EQY_DVD_YLD_12M</stp>
        <stp>[My Portfolio.xlsx]Holdings!R17C12</stp>
        <tr r="L17" s="1"/>
      </tp>
      <tp>
        <v>94.35</v>
        <stp/>
        <stp>##V3_BDPV12</stp>
        <stp>VTV US Equity</stp>
        <stp>PX_LAST</stp>
        <stp>[My Portfolio.xlsx]Holdings!R10C7</stp>
        <tr r="G10" s="1"/>
      </tp>
      <tp>
        <v>0.63</v>
        <stp/>
        <stp>##V3_BDPV12</stp>
        <stp>DSEEX US EQUITY</stp>
        <stp>FUND_EXPENSE_RATIO</stp>
        <stp>[My Portfolio.xlsx]Holdings!R20C11</stp>
        <tr r="K20" s="1"/>
      </tp>
      <tp>
        <v>213.7</v>
        <stp/>
        <stp>##V3_BDPV12</stp>
        <stp>VIIIX US Equity</stp>
        <stp>PX_LAST</stp>
        <stp>[My Portfolio.xlsx]Holdings!R2C7</stp>
        <tr r="G2" s="1"/>
      </tp>
      <tp>
        <v>120.82</v>
        <stp/>
        <stp>##V3_BDPV12</stp>
        <stp>VUG US Equity</stp>
        <stp>PX_LAST</stp>
        <stp>[My Portfolio.xlsx]Holdings!R9C7</stp>
        <tr r="G9" s="1"/>
      </tp>
      <tp>
        <v>47.518999999999998</v>
        <stp/>
        <stp>##V3_BDPV12</stp>
        <stp>VEU US Equity</stp>
        <stp>PX_LAST</stp>
        <stp>[My Portfolio.xlsx]Holdings!R8C7</stp>
        <tr r="G8" s="1"/>
      </tp>
      <tp>
        <v>106.37</v>
        <stp/>
        <stp>##V3_BDPV12</stp>
        <stp>VTPSX US Equity</stp>
        <stp>PX_LAST</stp>
        <stp>[My Portfolio.xlsx]Holdings!R3C7</stp>
        <tr r="G3" s="1"/>
      </tp>
      <tp>
        <v>2.9327993058656761</v>
        <stp/>
        <stp>##V3_BDPV12</stp>
        <stp>INTC US EQUITY</stp>
        <stp>EQY_DVD_YLD_12M</stp>
        <stp>[My Portfolio.xlsx]Holdings!R11C12</stp>
        <tr r="L11" s="1"/>
      </tp>
      <tp>
        <v>8.4499999999999993</v>
        <stp/>
        <stp>##V3_BDPV12</stp>
        <stp>BBW US Equity</stp>
        <stp>PX_LAST</stp>
        <stp>[My Portfolio.xlsx]Holdings!R19C7</stp>
        <tr r="G19" s="1"/>
      </tp>
      <tp>
        <v>3.7758936660839462</v>
        <stp/>
        <stp>##V3_BDPV12</stp>
        <stp>DSEEX US EQUITY</stp>
        <stp>EQY_DVD_YLD_12M</stp>
        <stp>[My Portfolio.xlsx]Holdings!R20C12</stp>
        <tr r="L20" s="1"/>
      </tp>
      <tp>
        <v>0.46</v>
        <stp/>
        <stp>##V3_BDPV12</stp>
        <stp>PTTRX US EQUITY</stp>
        <stp>FUND_EXPENSE_RATIO</stp>
        <stp>[My Portfolio.xlsx]Holdings!R17C11</stp>
        <tr r="K17" s="1"/>
      </tp>
      <tp>
        <v>11.4</v>
        <stp/>
        <stp>##V3_BDPV12</stp>
        <stp>ALJ US Equity</stp>
        <stp>PX_LAST</stp>
        <stp>[My Portfolio.xlsx]Holdings!R13C7</stp>
        <tr r="G13" s="1"/>
      </tp>
      <tp>
        <v>2.7631052079386689</v>
        <stp/>
        <stp>##V3_BDPV12</stp>
        <stp>VEU US EQUITY</stp>
        <stp>EQY_DVD_YLD_12M</stp>
        <stp>[My Portfolio.xlsx]Holdings!R8C12</stp>
        <tr r="L8" s="1"/>
      </tp>
      <tp>
        <v>2.2878597615209775</v>
        <stp/>
        <stp>##V3_BDPV12</stp>
        <stp>VWO US EQUITY</stp>
        <stp>EQY_DVD_YLD_12M</stp>
        <stp>[My Portfolio.xlsx]Holdings!R6C12</stp>
        <tr r="L6" s="1"/>
      </tp>
      <tp>
        <v>1.3292500799488813</v>
        <stp/>
        <stp>##V3_BDPV12</stp>
        <stp>VUG US EQUITY</stp>
        <stp>EQY_DVD_YLD_12M</stp>
        <stp>[My Portfolio.xlsx]Holdings!R9C12</stp>
        <tr r="L9" s="1"/>
      </tp>
      <tp>
        <v>1.2189716576261724</v>
        <stp/>
        <stp>##V3_BDPV12</stp>
        <stp>BAC US EQUITY</stp>
        <stp>EQY_DVD_YLD_12M</stp>
        <stp>[My Portfolio.xlsx]Holdings!R5C12</stp>
        <tr r="L5" s="1"/>
      </tp>
      <tp>
        <v>1.8872081848097806</v>
        <stp/>
        <stp>##V3_BDPV12</stp>
        <stp>IVV US EQUITY</stp>
        <stp>EQY_DVD_YLD_12M</stp>
        <stp>[My Portfolio.xlsx]Holdings!R7C12</stp>
        <tr r="L7" s="1"/>
      </tp>
      <tp>
        <v>10.199999999999999</v>
        <stp/>
        <stp>##V3_BDPV12</stp>
        <stp>PTTRX US Equity</stp>
        <stp>PX_LAST</stp>
        <stp>[My Portfolio.xlsx]Holdings!R17C7</stp>
        <tr r="G17" s="1"/>
      </tp>
      <tp>
        <v>7.0000000000000007E-2</v>
        <stp/>
        <stp>##V3_BDPV12</stp>
        <stp>VTPSX US EQUITY</stp>
        <stp>FUND_EXPENSE_RATIO</stp>
        <stp>[My Portfolio.xlsx]Holdings!R3C11</stp>
        <tr r="K3" s="1"/>
      </tp>
      <tp>
        <v>2.4324325132951197</v>
        <stp/>
        <stp>##V3_BDPV12</stp>
        <stp>VTV US EQUITY</stp>
        <stp>EQY_DVD_YLD_12M</stp>
        <stp>[My Portfolio.xlsx]Holdings!R10C12</stp>
        <tr r="L10" s="1"/>
      </tp>
      <tp>
        <v>0.08</v>
        <stp/>
        <stp>##V3_BDPV12</stp>
        <stp>VTV US EQUITY</stp>
        <stp>FUND_EXPENSE_RATIO</stp>
        <stp>[My Portfolio.xlsx]Holdings!R10C11</stp>
        <tr r="K10" s="1"/>
      </tp>
      <tp>
        <v>0.02</v>
        <stp/>
        <stp>##V3_BDPV12</stp>
        <stp>VIIIX US EQUITY</stp>
        <stp>FUND_EXPENSE_RATIO</stp>
        <stp>[My Portfolio.xlsx]Holdings!R2C11</stp>
        <tr r="K2" s="1"/>
      </tp>
      <tp>
        <v>0.48330000000000001</v>
        <stp/>
        <stp>##V3_BDPV12</stp>
        <stp>ALBKY US Equity</stp>
        <stp>PX_LAST</stp>
        <stp>[My Portfolio.xlsx]Holdings!R14C7</stp>
        <tr r="G14" s="1"/>
      </tp>
      <tp>
        <v>12.5</v>
        <stp/>
        <stp>##V3_BDPV12</stp>
        <stp>WACSX US Equity</stp>
        <stp>PX_LAST</stp>
        <stp>[My Portfolio.xlsx]Holdings!R15C7</stp>
        <tr r="G15" s="1"/>
      </tp>
      <tp>
        <v>14.66</v>
        <stp/>
        <stp>##V3_BDPV12</stp>
        <stp>DSEEX US Equity</stp>
        <stp>PX_LAST</stp>
        <stp>[My Portfolio.xlsx]Holdings!R20C7</stp>
        <tr r="G20" s="1"/>
      </tp>
      <tp>
        <v>5.2631581038759467</v>
        <stp/>
        <stp>##V3_BDPV12</stp>
        <stp>ALJ US EQUITY</stp>
        <stp>EQY_DVD_YLD_12M</stp>
        <stp>[My Portfolio.xlsx]Holdings!R13C12</stp>
        <tr r="L13" s="1"/>
      </tp>
      <tp>
        <v>10.75</v>
        <stp/>
        <stp>##V3_BDPV12</stp>
        <stp>VBMPX US Equity</stp>
        <stp>PX_LAST</stp>
        <stp>[My Portfolio.xlsx]Holdings!R16C7</stp>
        <tr r="G16" s="1"/>
      </tp>
      <tp>
        <v>0.14000000000000001</v>
        <stp/>
        <stp>##V3_BDPV12</stp>
        <stp>VWO US EQUITY</stp>
        <stp>FUND_EXPENSE_RATIO</stp>
        <stp>[My Portfolio.xlsx]Holdings!R6C11</stp>
        <tr r="K6" s="1"/>
      </tp>
      <tp>
        <v>0.08</v>
        <stp/>
        <stp>##V3_BDPV12</stp>
        <stp>VUG US EQUITY</stp>
        <stp>FUND_EXPENSE_RATIO</stp>
        <stp>[My Portfolio.xlsx]Holdings!R9C11</stp>
        <tr r="K9" s="1"/>
      </tp>
      <tp>
        <v>0.11</v>
        <stp/>
        <stp>##V3_BDPV12</stp>
        <stp>VEU US EQUITY</stp>
        <stp>FUND_EXPENSE_RATIO</stp>
        <stp>[My Portfolio.xlsx]Holdings!R8C11</stp>
        <tr r="K8" s="1"/>
      </tp>
      <tp>
        <v>0.04</v>
        <stp/>
        <stp>##V3_BDPV12</stp>
        <stp>IVV US EQUITY</stp>
        <stp>FUND_EXPENSE_RATIO</stp>
        <stp>[My Portfolio.xlsx]Holdings!R7C11</stp>
        <tr r="K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Holdings!$P$1:$AE$1</c:f>
              <c:strCache>
                <c:ptCount val="16"/>
                <c:pt idx="0">
                  <c:v>Mkt-RF</c:v>
                </c:pt>
                <c:pt idx="1">
                  <c:v>SMB</c:v>
                </c:pt>
                <c:pt idx="2">
                  <c:v>HML</c:v>
                </c:pt>
                <c:pt idx="3">
                  <c:v>RMW</c:v>
                </c:pt>
                <c:pt idx="4">
                  <c:v>CMA</c:v>
                </c:pt>
                <c:pt idx="5">
                  <c:v>Mom</c:v>
                </c:pt>
                <c:pt idx="6">
                  <c:v>Ex-US Mkt-RF</c:v>
                </c:pt>
                <c:pt idx="7">
                  <c:v>Ex-US SMB</c:v>
                </c:pt>
                <c:pt idx="8">
                  <c:v>Ex-US HML</c:v>
                </c:pt>
                <c:pt idx="9">
                  <c:v>Ex-US RMW</c:v>
                </c:pt>
                <c:pt idx="10">
                  <c:v>Ex-US CMA</c:v>
                </c:pt>
                <c:pt idx="11">
                  <c:v>Ex-US Mom</c:v>
                </c:pt>
                <c:pt idx="12">
                  <c:v>IT_GOVT</c:v>
                </c:pt>
                <c:pt idx="13">
                  <c:v>LT_GOVT</c:v>
                </c:pt>
                <c:pt idx="14">
                  <c:v>LT_CORP</c:v>
                </c:pt>
                <c:pt idx="15">
                  <c:v>US_MBS</c:v>
                </c:pt>
              </c:strCache>
            </c:strRef>
          </c:cat>
          <c:val>
            <c:numRef>
              <c:f>Holdings!$P$21:$AE$21</c:f>
              <c:numCache>
                <c:formatCode>_(* #,##0.00_);_(* \(#,##0.00\);_(* "-"??_);_(@_)</c:formatCode>
                <c:ptCount val="16"/>
                <c:pt idx="0">
                  <c:v>0.54982625677680197</c:v>
                </c:pt>
                <c:pt idx="1">
                  <c:v>-4.3520369550652978E-2</c:v>
                </c:pt>
                <c:pt idx="2">
                  <c:v>0.15300128384113951</c:v>
                </c:pt>
                <c:pt idx="3">
                  <c:v>-0.10096404390714252</c:v>
                </c:pt>
                <c:pt idx="4">
                  <c:v>-0.10570553724908882</c:v>
                </c:pt>
                <c:pt idx="5">
                  <c:v>2.4386889357215624E-3</c:v>
                </c:pt>
                <c:pt idx="6">
                  <c:v>0.20952627325710591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-1.0688195775082565E-4</c:v>
                </c:pt>
                <c:pt idx="12">
                  <c:v>1.1969085318784878E-2</c:v>
                </c:pt>
                <c:pt idx="13">
                  <c:v>-1.5844213007758165E-2</c:v>
                </c:pt>
                <c:pt idx="14">
                  <c:v>6.3769288854534728E-2</c:v>
                </c:pt>
                <c:pt idx="15">
                  <c:v>0.18700263297287201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A-450B-AC17-D7D4A2E79E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36247296"/>
        <c:axId val="1036240408"/>
      </c:barChart>
      <c:catAx>
        <c:axId val="10362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40408"/>
        <c:crosses val="autoZero"/>
        <c:auto val="1"/>
        <c:lblAlgn val="ctr"/>
        <c:lblOffset val="100"/>
        <c:noMultiLvlLbl val="0"/>
      </c:catAx>
      <c:valAx>
        <c:axId val="10362404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crossAx val="10362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DFA04-E1B5-48AE-8477-E528D4A9AA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5"/>
  <sheetViews>
    <sheetView tabSelected="1" workbookViewId="0">
      <pane xSplit="4" ySplit="1" topLeftCell="E7" activePane="bottomRight" state="frozen"/>
      <selection pane="topRight" activeCell="E1" sqref="E1"/>
      <selection pane="bottomLeft" activeCell="A2" sqref="A2"/>
      <selection pane="bottomRight" activeCell="H31" sqref="H31"/>
    </sheetView>
  </sheetViews>
  <sheetFormatPr defaultRowHeight="12" x14ac:dyDescent="0.25"/>
  <cols>
    <col min="1" max="1" width="8.88671875" style="1"/>
    <col min="2" max="2" width="33.6640625" style="1" bestFit="1" customWidth="1"/>
    <col min="3" max="3" width="12.6640625" style="1" bestFit="1" customWidth="1"/>
    <col min="4" max="4" width="12.6640625" style="1" customWidth="1"/>
    <col min="5" max="5" width="10.109375" style="1" customWidth="1"/>
    <col min="6" max="6" width="10.109375" style="1" bestFit="1" customWidth="1"/>
    <col min="7" max="7" width="6.21875" style="1" bestFit="1" customWidth="1"/>
    <col min="8" max="8" width="10.109375" style="1" bestFit="1" customWidth="1"/>
    <col min="9" max="13" width="10.109375" style="1" customWidth="1"/>
    <col min="14" max="16384" width="8.88671875" style="1"/>
  </cols>
  <sheetData>
    <row r="1" spans="1:35" s="22" customFormat="1" ht="24" x14ac:dyDescent="0.25">
      <c r="A1" s="22" t="s">
        <v>0</v>
      </c>
      <c r="B1" s="22" t="s">
        <v>13</v>
      </c>
      <c r="C1" s="22" t="s">
        <v>1</v>
      </c>
      <c r="D1" s="22" t="s">
        <v>41</v>
      </c>
      <c r="E1" s="22" t="s">
        <v>60</v>
      </c>
      <c r="F1" s="22" t="s">
        <v>61</v>
      </c>
      <c r="G1" s="22" t="s">
        <v>8</v>
      </c>
      <c r="H1" s="22" t="s">
        <v>30</v>
      </c>
      <c r="I1" s="22" t="s">
        <v>30</v>
      </c>
      <c r="J1" s="22" t="s">
        <v>62</v>
      </c>
      <c r="K1" s="22" t="s">
        <v>56</v>
      </c>
      <c r="L1" s="22" t="s">
        <v>59</v>
      </c>
      <c r="M1" s="22" t="s">
        <v>68</v>
      </c>
      <c r="O1" s="22" t="s">
        <v>54</v>
      </c>
      <c r="P1" s="22" t="s">
        <v>47</v>
      </c>
      <c r="Q1" s="22" t="s">
        <v>48</v>
      </c>
      <c r="R1" s="22" t="s">
        <v>49</v>
      </c>
      <c r="S1" s="22" t="s">
        <v>50</v>
      </c>
      <c r="T1" s="22" t="s">
        <v>51</v>
      </c>
      <c r="U1" s="22" t="s">
        <v>52</v>
      </c>
      <c r="V1" s="22" t="str">
        <f>"Ex-US "&amp;P1</f>
        <v>Ex-US Mkt-RF</v>
      </c>
      <c r="W1" s="22" t="str">
        <f t="shared" ref="W1:AA1" si="0">"Ex-US "&amp;Q1</f>
        <v>Ex-US SMB</v>
      </c>
      <c r="X1" s="22" t="str">
        <f t="shared" si="0"/>
        <v>Ex-US HML</v>
      </c>
      <c r="Y1" s="22" t="str">
        <f t="shared" si="0"/>
        <v>Ex-US RMW</v>
      </c>
      <c r="Z1" s="22" t="str">
        <f t="shared" si="0"/>
        <v>Ex-US CMA</v>
      </c>
      <c r="AA1" s="22" t="str">
        <f t="shared" si="0"/>
        <v>Ex-US Mom</v>
      </c>
      <c r="AB1" s="22" t="s">
        <v>69</v>
      </c>
      <c r="AC1" s="22" t="s">
        <v>70</v>
      </c>
      <c r="AD1" s="22" t="s">
        <v>71</v>
      </c>
      <c r="AE1" s="22" t="s">
        <v>72</v>
      </c>
      <c r="AF1" s="22" t="s">
        <v>53</v>
      </c>
      <c r="AG1" s="22" t="s">
        <v>75</v>
      </c>
      <c r="AH1" s="22" t="s">
        <v>73</v>
      </c>
      <c r="AI1" s="22" t="s">
        <v>74</v>
      </c>
    </row>
    <row r="2" spans="1:35" x14ac:dyDescent="0.25">
      <c r="A2" s="27" t="s">
        <v>4</v>
      </c>
      <c r="B2" s="27" t="s">
        <v>14</v>
      </c>
      <c r="C2" s="27" t="s">
        <v>2</v>
      </c>
      <c r="D2" s="27" t="s">
        <v>42</v>
      </c>
      <c r="E2" s="28">
        <v>301.78870000000001</v>
      </c>
      <c r="F2" s="28">
        <f>E2</f>
        <v>301.78870000000001</v>
      </c>
      <c r="G2" s="28">
        <f>_xll.BDP($A2&amp;" US Equity","PX_LAST")</f>
        <v>213.7</v>
      </c>
      <c r="H2" s="29">
        <f>$G2*E2</f>
        <v>64492.245189999994</v>
      </c>
      <c r="I2" s="29">
        <f>$G2*F2</f>
        <v>64492.245189999994</v>
      </c>
      <c r="J2" s="29">
        <f t="shared" ref="J2:J18" si="1">I2-H2</f>
        <v>0</v>
      </c>
      <c r="K2" s="30">
        <f>_xll.BDP(A2&amp;" US EQUITY", "FUND_EXPENSE_RATIO")</f>
        <v>0.02</v>
      </c>
      <c r="L2" s="30">
        <f>_xll.BDP(A2&amp;" US EQUITY", "EQY_DVD_YLD_12M")</f>
        <v>2.2897988097601871</v>
      </c>
      <c r="M2" s="28">
        <v>0</v>
      </c>
      <c r="O2" s="6">
        <f>VLOOKUP($A2,'Factor Exposures'!$B$3:$O$168,MATCH(O$1,'Factor Exposures'!$B$2:$O$2,0),0)</f>
        <v>-1.2491580423437299E-4</v>
      </c>
      <c r="P2" s="2">
        <f>VLOOKUP($A2,'Factor Exposures'!$B$3:$S$168,MATCH(P$1,'Factor Exposures'!$B$2:$S$2,0),0)</f>
        <v>1.00181246530336</v>
      </c>
      <c r="Q2" s="2">
        <f>VLOOKUP($A2,'Factor Exposures'!$B$3:$S$168,MATCH(Q$1,'Factor Exposures'!$B$2:$S$2,0),0)</f>
        <v>-0.14154629777235</v>
      </c>
      <c r="R2" s="2">
        <f>VLOOKUP($A2,'Factor Exposures'!$B$3:$S$168,MATCH(R$1,'Factor Exposures'!$B$2:$S$2,0),0)</f>
        <v>0</v>
      </c>
      <c r="S2" s="2">
        <f>VLOOKUP($A2,'Factor Exposures'!$B$3:$S$168,MATCH(S$1,'Factor Exposures'!$B$2:$S$2,0),0)</f>
        <v>4.70175113116819E-2</v>
      </c>
      <c r="T2" s="2">
        <f>VLOOKUP($A2,'Factor Exposures'!$B$3:$S$168,MATCH(T$1,'Factor Exposures'!$B$2:$S$2,0),0)</f>
        <v>0</v>
      </c>
      <c r="U2" s="2">
        <f>VLOOKUP($A2,'Factor Exposures'!$B$3:$S$168,MATCH(U$1,'Factor Exposures'!$B$2:$S$2,0),0)</f>
        <v>0</v>
      </c>
      <c r="V2" s="2">
        <f>VLOOKUP($A2,'Factor Exposures'!$B$3:$S$168,MATCH(V$1,'Factor Exposures'!$B$2:$S$2,0),0)</f>
        <v>0</v>
      </c>
      <c r="W2" s="2">
        <f>VLOOKUP($A2,'Factor Exposures'!$B$3:$S$168,MATCH(W$1,'Factor Exposures'!$B$2:$S$2,0),0)</f>
        <v>0</v>
      </c>
      <c r="X2" s="2">
        <f>VLOOKUP($A2,'Factor Exposures'!$B$3:$S$168,MATCH(X$1,'Factor Exposures'!$B$2:$S$2,0),0)</f>
        <v>0</v>
      </c>
      <c r="Y2" s="2">
        <f>VLOOKUP($A2,'Factor Exposures'!$B$3:$S$168,MATCH(Y$1,'Factor Exposures'!$B$2:$S$2,0),0)</f>
        <v>0</v>
      </c>
      <c r="Z2" s="2">
        <f>VLOOKUP($A2,'Factor Exposures'!$B$3:$S$168,MATCH(Z$1,'Factor Exposures'!$B$2:$S$2,0),0)</f>
        <v>0</v>
      </c>
      <c r="AA2" s="2">
        <f>VLOOKUP($A2,'Factor Exposures'!$B$3:$S$168,MATCH(AA$1,'Factor Exposures'!$B$2:$S$2,0),0)</f>
        <v>0</v>
      </c>
      <c r="AB2" s="2">
        <f>VLOOKUP($A2,'Factor Exposures'!$B$3:$S$168,MATCH(AB$1,'Factor Exposures'!$B$2:$S$2,0),0)</f>
        <v>0</v>
      </c>
      <c r="AC2" s="2">
        <f>VLOOKUP($A2,'Factor Exposures'!$B$3:$S$168,MATCH(AC$1,'Factor Exposures'!$B$2:$S$2,0),0)</f>
        <v>0</v>
      </c>
      <c r="AD2" s="2">
        <f>VLOOKUP($A2,'Factor Exposures'!$B$3:$S$168,MATCH(AD$1,'Factor Exposures'!$B$2:$S$2,0),0)</f>
        <v>0</v>
      </c>
      <c r="AE2" s="2">
        <f>VLOOKUP($A2,'Factor Exposures'!$B$3:$S$168,MATCH(AE$1,'Factor Exposures'!$B$2:$S$2,0),0)</f>
        <v>0</v>
      </c>
      <c r="AF2" s="1">
        <v>1</v>
      </c>
      <c r="AG2" s="5">
        <v>1</v>
      </c>
      <c r="AH2" s="5"/>
      <c r="AI2" s="5"/>
    </row>
    <row r="3" spans="1:35" x14ac:dyDescent="0.25">
      <c r="A3" s="27" t="s">
        <v>6</v>
      </c>
      <c r="B3" s="27" t="s">
        <v>16</v>
      </c>
      <c r="C3" s="27" t="s">
        <v>2</v>
      </c>
      <c r="D3" s="27" t="s">
        <v>42</v>
      </c>
      <c r="E3" s="28">
        <v>351.89350000000002</v>
      </c>
      <c r="F3" s="28">
        <f t="shared" ref="F3:F20" si="2">E3</f>
        <v>351.89350000000002</v>
      </c>
      <c r="G3" s="28">
        <f>_xll.BDP($A3&amp;" US Equity","PX_LAST")</f>
        <v>106.37</v>
      </c>
      <c r="H3" s="29">
        <f t="shared" ref="H3:I20" si="3">$G3*E3</f>
        <v>37430.911595000005</v>
      </c>
      <c r="I3" s="29">
        <f t="shared" si="3"/>
        <v>37430.911595000005</v>
      </c>
      <c r="J3" s="29">
        <f t="shared" si="1"/>
        <v>0</v>
      </c>
      <c r="K3" s="30">
        <f>_xll.BDP(A3&amp;" US EQUITY", "FUND_EXPENSE_RATIO")</f>
        <v>7.0000000000000007E-2</v>
      </c>
      <c r="L3" s="30">
        <f>_xll.BDP(A3&amp;" US EQUITY", "EQY_DVD_YLD_12M")</f>
        <v>2.7893203042487489</v>
      </c>
      <c r="M3" s="28">
        <v>0</v>
      </c>
      <c r="O3" s="6">
        <f>VLOOKUP($A3,'Factor Exposures'!$B$3:$O$168,MATCH(O$1,'Factor Exposures'!$B$2:$O$2,0),0)</f>
        <v>-1.6647307441802299E-3</v>
      </c>
      <c r="P3" s="2">
        <f>VLOOKUP($A3,'Factor Exposures'!$B$3:$S$168,MATCH(P$1,'Factor Exposures'!$B$2:$S$2,0),0)</f>
        <v>0</v>
      </c>
      <c r="Q3" s="2">
        <f>VLOOKUP($A3,'Factor Exposures'!$B$3:$S$168,MATCH(Q$1,'Factor Exposures'!$B$2:$S$2,0),0)</f>
        <v>0</v>
      </c>
      <c r="R3" s="2">
        <f>VLOOKUP($A3,'Factor Exposures'!$B$3:$S$168,MATCH(R$1,'Factor Exposures'!$B$2:$S$2,0),0)</f>
        <v>0</v>
      </c>
      <c r="S3" s="2">
        <f>VLOOKUP($A3,'Factor Exposures'!$B$3:$S$168,MATCH(S$1,'Factor Exposures'!$B$2:$S$2,0),0)</f>
        <v>0</v>
      </c>
      <c r="T3" s="2">
        <f>VLOOKUP($A3,'Factor Exposures'!$B$3:$S$168,MATCH(T$1,'Factor Exposures'!$B$2:$S$2,0),0)</f>
        <v>0</v>
      </c>
      <c r="U3" s="2">
        <f>VLOOKUP($A3,'Factor Exposures'!$B$3:$S$168,MATCH(U$1,'Factor Exposures'!$B$2:$S$2,0),0)</f>
        <v>0</v>
      </c>
      <c r="V3" s="2">
        <f>VLOOKUP($A3,'Factor Exposures'!$B$3:$S$168,MATCH(V$1,'Factor Exposures'!$B$2:$S$2,0),0)</f>
        <v>1.00872324716649</v>
      </c>
      <c r="W3" s="2">
        <f>VLOOKUP($A3,'Factor Exposures'!$B$3:$S$168,MATCH(W$1,'Factor Exposures'!$B$2:$S$2,0),0)</f>
        <v>0</v>
      </c>
      <c r="X3" s="2">
        <f>VLOOKUP($A3,'Factor Exposures'!$B$3:$S$168,MATCH(X$1,'Factor Exposures'!$B$2:$S$2,0),0)</f>
        <v>0</v>
      </c>
      <c r="Y3" s="2">
        <f>VLOOKUP($A3,'Factor Exposures'!$B$3:$S$168,MATCH(Y$1,'Factor Exposures'!$B$2:$S$2,0),0)</f>
        <v>0</v>
      </c>
      <c r="Z3" s="2">
        <f>VLOOKUP($A3,'Factor Exposures'!$B$3:$S$168,MATCH(Z$1,'Factor Exposures'!$B$2:$S$2,0),0)</f>
        <v>0</v>
      </c>
      <c r="AA3" s="2">
        <f>VLOOKUP($A3,'Factor Exposures'!$B$3:$S$168,MATCH(AA$1,'Factor Exposures'!$B$2:$S$2,0),0)</f>
        <v>0</v>
      </c>
      <c r="AB3" s="2">
        <f>VLOOKUP($A3,'Factor Exposures'!$B$3:$S$168,MATCH(AB$1,'Factor Exposures'!$B$2:$S$2,0),0)</f>
        <v>0</v>
      </c>
      <c r="AC3" s="2">
        <f>VLOOKUP($A3,'Factor Exposures'!$B$3:$S$168,MATCH(AC$1,'Factor Exposures'!$B$2:$S$2,0),0)</f>
        <v>0</v>
      </c>
      <c r="AD3" s="2">
        <f>VLOOKUP($A3,'Factor Exposures'!$B$3:$S$168,MATCH(AD$1,'Factor Exposures'!$B$2:$S$2,0),0)</f>
        <v>0</v>
      </c>
      <c r="AE3" s="2">
        <f>VLOOKUP($A3,'Factor Exposures'!$B$3:$S$168,MATCH(AE$1,'Factor Exposures'!$B$2:$S$2,0),0)</f>
        <v>0</v>
      </c>
      <c r="AF3" s="1">
        <v>1</v>
      </c>
      <c r="AG3" s="5"/>
      <c r="AH3" s="5">
        <f>1-AI3</f>
        <v>0.81099999999999994</v>
      </c>
      <c r="AI3" s="5">
        <v>0.189</v>
      </c>
    </row>
    <row r="4" spans="1:35" x14ac:dyDescent="0.25">
      <c r="A4" s="24" t="s">
        <v>63</v>
      </c>
      <c r="B4" s="24" t="s">
        <v>66</v>
      </c>
      <c r="C4" s="24" t="s">
        <v>12</v>
      </c>
      <c r="D4" s="24" t="s">
        <v>42</v>
      </c>
      <c r="E4" s="25">
        <v>112.328</v>
      </c>
      <c r="F4" s="25">
        <f t="shared" si="2"/>
        <v>112.328</v>
      </c>
      <c r="G4" s="25">
        <f>_xll.BDP($A4&amp;" US Equity","PX_LAST")</f>
        <v>280.06</v>
      </c>
      <c r="H4" s="23">
        <f t="shared" ref="H4" si="4">$G4*E4</f>
        <v>31458.579680000003</v>
      </c>
      <c r="I4" s="23">
        <f t="shared" ref="I4" si="5">$G4*F4</f>
        <v>31458.579680000003</v>
      </c>
      <c r="J4" s="23">
        <f t="shared" ref="J4" si="6">I4-H4</f>
        <v>0</v>
      </c>
      <c r="K4" s="26">
        <v>0.04</v>
      </c>
      <c r="L4" s="26">
        <f>_xll.BDP(A4&amp;" US EQUITY", "EQY_DVD_YLD_12M")</f>
        <v>2.210112816008944</v>
      </c>
      <c r="M4" s="28">
        <v>0</v>
      </c>
      <c r="O4" s="6">
        <f>VLOOKUP($A4,'Factor Exposures'!$B$3:$O$168,MATCH(O$1,'Factor Exposures'!$B$2:$O$2,0),0)</f>
        <v>-2.35826241901777E-4</v>
      </c>
      <c r="P4" s="2">
        <f>VLOOKUP($A4,'Factor Exposures'!$B$3:$S$168,MATCH(P$1,'Factor Exposures'!$B$2:$S$2,0),0)</f>
        <v>1.00191448366303</v>
      </c>
      <c r="Q4" s="2">
        <f>VLOOKUP($A4,'Factor Exposures'!$B$3:$S$168,MATCH(Q$1,'Factor Exposures'!$B$2:$S$2,0),0)</f>
        <v>-0.14100108840514899</v>
      </c>
      <c r="R4" s="2">
        <f>VLOOKUP($A4,'Factor Exposures'!$B$3:$S$168,MATCH(R$1,'Factor Exposures'!$B$2:$S$2,0),0)</f>
        <v>0</v>
      </c>
      <c r="S4" s="2">
        <f>VLOOKUP($A4,'Factor Exposures'!$B$3:$S$168,MATCH(S$1,'Factor Exposures'!$B$2:$S$2,0),0)</f>
        <v>4.6796051084578801E-2</v>
      </c>
      <c r="T4" s="2">
        <f>VLOOKUP($A4,'Factor Exposures'!$B$3:$S$168,MATCH(T$1,'Factor Exposures'!$B$2:$S$2,0),0)</f>
        <v>0</v>
      </c>
      <c r="U4" s="2">
        <f>VLOOKUP($A4,'Factor Exposures'!$B$3:$S$168,MATCH(U$1,'Factor Exposures'!$B$2:$S$2,0),0)</f>
        <v>0</v>
      </c>
      <c r="V4" s="2">
        <f>VLOOKUP($A4,'Factor Exposures'!$B$3:$S$168,MATCH(V$1,'Factor Exposures'!$B$2:$S$2,0),0)</f>
        <v>0</v>
      </c>
      <c r="W4" s="2">
        <f>VLOOKUP($A4,'Factor Exposures'!$B$3:$S$168,MATCH(W$1,'Factor Exposures'!$B$2:$S$2,0),0)</f>
        <v>0</v>
      </c>
      <c r="X4" s="2">
        <f>VLOOKUP($A4,'Factor Exposures'!$B$3:$S$168,MATCH(X$1,'Factor Exposures'!$B$2:$S$2,0),0)</f>
        <v>0</v>
      </c>
      <c r="Y4" s="2">
        <f>VLOOKUP($A4,'Factor Exposures'!$B$3:$S$168,MATCH(Y$1,'Factor Exposures'!$B$2:$S$2,0),0)</f>
        <v>0</v>
      </c>
      <c r="Z4" s="2">
        <f>VLOOKUP($A4,'Factor Exposures'!$B$3:$S$168,MATCH(Z$1,'Factor Exposures'!$B$2:$S$2,0),0)</f>
        <v>0</v>
      </c>
      <c r="AA4" s="2">
        <f>VLOOKUP($A4,'Factor Exposures'!$B$3:$S$168,MATCH(AA$1,'Factor Exposures'!$B$2:$S$2,0),0)</f>
        <v>0</v>
      </c>
      <c r="AB4" s="2">
        <f>VLOOKUP($A4,'Factor Exposures'!$B$3:$S$168,MATCH(AB$1,'Factor Exposures'!$B$2:$S$2,0),0)</f>
        <v>0</v>
      </c>
      <c r="AC4" s="2">
        <f>VLOOKUP($A4,'Factor Exposures'!$B$3:$S$168,MATCH(AC$1,'Factor Exposures'!$B$2:$S$2,0),0)</f>
        <v>0</v>
      </c>
      <c r="AD4" s="2">
        <f>VLOOKUP($A4,'Factor Exposures'!$B$3:$S$168,MATCH(AD$1,'Factor Exposures'!$B$2:$S$2,0),0)</f>
        <v>0</v>
      </c>
      <c r="AE4" s="2">
        <f>VLOOKUP($A4,'Factor Exposures'!$B$3:$S$168,MATCH(AE$1,'Factor Exposures'!$B$2:$S$2,0),0)</f>
        <v>0</v>
      </c>
      <c r="AF4" s="1">
        <v>1</v>
      </c>
      <c r="AG4" s="5">
        <v>1</v>
      </c>
      <c r="AH4" s="5"/>
      <c r="AI4" s="5"/>
    </row>
    <row r="5" spans="1:35" x14ac:dyDescent="0.25">
      <c r="A5" s="31" t="s">
        <v>18</v>
      </c>
      <c r="B5" s="31" t="s">
        <v>64</v>
      </c>
      <c r="C5" s="31" t="s">
        <v>29</v>
      </c>
      <c r="D5" s="31" t="s">
        <v>42</v>
      </c>
      <c r="E5" s="32">
        <v>1834</v>
      </c>
      <c r="F5" s="32">
        <f t="shared" si="2"/>
        <v>1834</v>
      </c>
      <c r="G5" s="32">
        <f>_xll.BDP($A5&amp;" US Equity","PX_LAST")</f>
        <v>22.56</v>
      </c>
      <c r="H5" s="33">
        <f t="shared" ref="H5" si="7">$G5*E5</f>
        <v>41375.040000000001</v>
      </c>
      <c r="I5" s="33">
        <f t="shared" ref="I5" si="8">$G5*F5</f>
        <v>41375.040000000001</v>
      </c>
      <c r="J5" s="33">
        <f t="shared" ref="J5" si="9">I5-H5</f>
        <v>0</v>
      </c>
      <c r="K5" s="34">
        <v>0</v>
      </c>
      <c r="L5" s="34">
        <f>_xll.BDP(A5&amp;" US EQUITY", "EQY_DVD_YLD_12M")</f>
        <v>1.2189716576261724</v>
      </c>
      <c r="M5" s="28">
        <v>0</v>
      </c>
      <c r="O5" s="6">
        <f>VLOOKUP($A5,'Factor Exposures'!$B$3:$O$168,MATCH(O$1,'Factor Exposures'!$B$2:$O$2,0),0)</f>
        <v>-2.0965286404632999E-3</v>
      </c>
      <c r="P5" s="2">
        <f>VLOOKUP($A5,'Factor Exposures'!$B$3:$S$168,MATCH(P$1,'Factor Exposures'!$B$2:$S$2,0),0)</f>
        <v>1.11602264103395</v>
      </c>
      <c r="Q5" s="2">
        <f>VLOOKUP($A5,'Factor Exposures'!$B$3:$S$168,MATCH(Q$1,'Factor Exposures'!$B$2:$S$2,0),0)</f>
        <v>0</v>
      </c>
      <c r="R5" s="2">
        <f>VLOOKUP($A5,'Factor Exposures'!$B$3:$S$168,MATCH(R$1,'Factor Exposures'!$B$2:$S$2,0),0)</f>
        <v>2.40451751568005</v>
      </c>
      <c r="S5" s="2">
        <f>VLOOKUP($A5,'Factor Exposures'!$B$3:$S$168,MATCH(S$1,'Factor Exposures'!$B$2:$S$2,0),0)</f>
        <v>-2.3790412270180301</v>
      </c>
      <c r="T5" s="2">
        <f>VLOOKUP($A5,'Factor Exposures'!$B$3:$S$168,MATCH(T$1,'Factor Exposures'!$B$2:$S$2,0),0)</f>
        <v>-1.7787324670236599</v>
      </c>
      <c r="U5" s="2">
        <f>VLOOKUP($A5,'Factor Exposures'!$B$3:$S$168,MATCH(U$1,'Factor Exposures'!$B$2:$S$2,0),0)</f>
        <v>0</v>
      </c>
      <c r="V5" s="2">
        <f>VLOOKUP($A5,'Factor Exposures'!$B$3:$S$168,MATCH(V$1,'Factor Exposures'!$B$2:$S$2,0),0)</f>
        <v>0</v>
      </c>
      <c r="W5" s="2">
        <f>VLOOKUP($A5,'Factor Exposures'!$B$3:$S$168,MATCH(W$1,'Factor Exposures'!$B$2:$S$2,0),0)</f>
        <v>0</v>
      </c>
      <c r="X5" s="2">
        <f>VLOOKUP($A5,'Factor Exposures'!$B$3:$S$168,MATCH(X$1,'Factor Exposures'!$B$2:$S$2,0),0)</f>
        <v>0</v>
      </c>
      <c r="Y5" s="2">
        <f>VLOOKUP($A5,'Factor Exposures'!$B$3:$S$168,MATCH(Y$1,'Factor Exposures'!$B$2:$S$2,0),0)</f>
        <v>0</v>
      </c>
      <c r="Z5" s="2">
        <f>VLOOKUP($A5,'Factor Exposures'!$B$3:$S$168,MATCH(Z$1,'Factor Exposures'!$B$2:$S$2,0),0)</f>
        <v>0</v>
      </c>
      <c r="AA5" s="2">
        <f>VLOOKUP($A5,'Factor Exposures'!$B$3:$S$168,MATCH(AA$1,'Factor Exposures'!$B$2:$S$2,0),0)</f>
        <v>0</v>
      </c>
      <c r="AB5" s="2">
        <f>VLOOKUP($A5,'Factor Exposures'!$B$3:$S$168,MATCH(AB$1,'Factor Exposures'!$B$2:$S$2,0),0)</f>
        <v>0</v>
      </c>
      <c r="AC5" s="2">
        <f>VLOOKUP($A5,'Factor Exposures'!$B$3:$S$168,MATCH(AC$1,'Factor Exposures'!$B$2:$S$2,0),0)</f>
        <v>0</v>
      </c>
      <c r="AD5" s="2">
        <f>VLOOKUP($A5,'Factor Exposures'!$B$3:$S$168,MATCH(AD$1,'Factor Exposures'!$B$2:$S$2,0),0)</f>
        <v>0</v>
      </c>
      <c r="AE5" s="2">
        <f>VLOOKUP($A5,'Factor Exposures'!$B$3:$S$168,MATCH(AE$1,'Factor Exposures'!$B$2:$S$2,0),0)</f>
        <v>0</v>
      </c>
      <c r="AF5" s="1">
        <v>1</v>
      </c>
      <c r="AG5" s="5">
        <v>1</v>
      </c>
      <c r="AH5" s="5"/>
      <c r="AI5" s="5"/>
    </row>
    <row r="6" spans="1:35" x14ac:dyDescent="0.25">
      <c r="A6" s="31" t="s">
        <v>20</v>
      </c>
      <c r="B6" s="31" t="s">
        <v>32</v>
      </c>
      <c r="C6" s="31" t="s">
        <v>29</v>
      </c>
      <c r="D6" s="31" t="s">
        <v>42</v>
      </c>
      <c r="E6" s="32">
        <v>1490</v>
      </c>
      <c r="F6" s="32">
        <f t="shared" si="2"/>
        <v>1490</v>
      </c>
      <c r="G6" s="32">
        <f>_xll.BDP($A6&amp;" US Equity","PX_LAST")</f>
        <v>39.950000000000003</v>
      </c>
      <c r="H6" s="33">
        <f t="shared" si="3"/>
        <v>59525.500000000007</v>
      </c>
      <c r="I6" s="33">
        <f t="shared" si="3"/>
        <v>59525.500000000007</v>
      </c>
      <c r="J6" s="33">
        <f t="shared" si="1"/>
        <v>0</v>
      </c>
      <c r="K6" s="34">
        <f>_xll.BDP(A6&amp;" US EQUITY", "FUND_EXPENSE_RATIO")</f>
        <v>0.14000000000000001</v>
      </c>
      <c r="L6" s="34">
        <f>_xll.BDP(A6&amp;" US EQUITY", "EQY_DVD_YLD_12M")</f>
        <v>2.2878597615209775</v>
      </c>
      <c r="M6" s="28">
        <v>1.03</v>
      </c>
      <c r="O6" s="6">
        <f>VLOOKUP($A6,'Factor Exposures'!$B$3:$O$168,MATCH(O$1,'Factor Exposures'!$B$2:$O$2,0),0)</f>
        <v>-4.2685995467099704E-3</v>
      </c>
      <c r="P6" s="2">
        <f>VLOOKUP($A6,'Factor Exposures'!$B$3:$S$168,MATCH(P$1,'Factor Exposures'!$B$2:$S$2,0),0)</f>
        <v>0</v>
      </c>
      <c r="Q6" s="2">
        <f>VLOOKUP($A6,'Factor Exposures'!$B$3:$S$168,MATCH(Q$1,'Factor Exposures'!$B$2:$S$2,0),0)</f>
        <v>0</v>
      </c>
      <c r="R6" s="2">
        <f>VLOOKUP($A6,'Factor Exposures'!$B$3:$S$168,MATCH(R$1,'Factor Exposures'!$B$2:$S$2,0),0)</f>
        <v>0</v>
      </c>
      <c r="S6" s="2">
        <f>VLOOKUP($A6,'Factor Exposures'!$B$3:$S$168,MATCH(S$1,'Factor Exposures'!$B$2:$S$2,0),0)</f>
        <v>0</v>
      </c>
      <c r="T6" s="2">
        <f>VLOOKUP($A6,'Factor Exposures'!$B$3:$S$168,MATCH(T$1,'Factor Exposures'!$B$2:$S$2,0),0)</f>
        <v>0</v>
      </c>
      <c r="U6" s="2">
        <f>VLOOKUP($A6,'Factor Exposures'!$B$3:$S$168,MATCH(U$1,'Factor Exposures'!$B$2:$S$2,0),0)</f>
        <v>0</v>
      </c>
      <c r="V6" s="2">
        <f>VLOOKUP($A6,'Factor Exposures'!$B$3:$S$168,MATCH(V$1,'Factor Exposures'!$B$2:$S$2,0),0)</f>
        <v>1.0306030081411499</v>
      </c>
      <c r="W6" s="2">
        <f>VLOOKUP($A6,'Factor Exposures'!$B$3:$S$168,MATCH(W$1,'Factor Exposures'!$B$2:$S$2,0),0)</f>
        <v>0</v>
      </c>
      <c r="X6" s="2">
        <f>VLOOKUP($A6,'Factor Exposures'!$B$3:$S$168,MATCH(X$1,'Factor Exposures'!$B$2:$S$2,0),0)</f>
        <v>0</v>
      </c>
      <c r="Y6" s="2">
        <f>VLOOKUP($A6,'Factor Exposures'!$B$3:$S$168,MATCH(Y$1,'Factor Exposures'!$B$2:$S$2,0),0)</f>
        <v>0</v>
      </c>
      <c r="Z6" s="2">
        <f>VLOOKUP($A6,'Factor Exposures'!$B$3:$S$168,MATCH(Z$1,'Factor Exposures'!$B$2:$S$2,0),0)</f>
        <v>0</v>
      </c>
      <c r="AA6" s="2">
        <f>VLOOKUP($A6,'Factor Exposures'!$B$3:$S$168,MATCH(AA$1,'Factor Exposures'!$B$2:$S$2,0),0)</f>
        <v>0</v>
      </c>
      <c r="AB6" s="2">
        <f>VLOOKUP($A6,'Factor Exposures'!$B$3:$S$168,MATCH(AB$1,'Factor Exposures'!$B$2:$S$2,0),0)</f>
        <v>0</v>
      </c>
      <c r="AC6" s="2">
        <f>VLOOKUP($A6,'Factor Exposures'!$B$3:$S$168,MATCH(AC$1,'Factor Exposures'!$B$2:$S$2,0),0)</f>
        <v>0</v>
      </c>
      <c r="AD6" s="2">
        <f>VLOOKUP($A6,'Factor Exposures'!$B$3:$S$168,MATCH(AD$1,'Factor Exposures'!$B$2:$S$2,0),0)</f>
        <v>0</v>
      </c>
      <c r="AE6" s="2">
        <f>VLOOKUP($A6,'Factor Exposures'!$B$3:$S$168,MATCH(AE$1,'Factor Exposures'!$B$2:$S$2,0),0)</f>
        <v>0</v>
      </c>
      <c r="AF6" s="1">
        <v>1</v>
      </c>
      <c r="AG6" s="5"/>
      <c r="AH6" s="5">
        <f>1-AI6</f>
        <v>0</v>
      </c>
      <c r="AI6" s="5">
        <v>1</v>
      </c>
    </row>
    <row r="7" spans="1:35" x14ac:dyDescent="0.25">
      <c r="A7" s="31" t="s">
        <v>21</v>
      </c>
      <c r="B7" s="31" t="s">
        <v>33</v>
      </c>
      <c r="C7" s="31" t="s">
        <v>29</v>
      </c>
      <c r="D7" s="31" t="s">
        <v>42</v>
      </c>
      <c r="E7" s="32">
        <v>200</v>
      </c>
      <c r="F7" s="32">
        <f t="shared" si="2"/>
        <v>200</v>
      </c>
      <c r="G7" s="32">
        <f>_xll.BDP($A7&amp;" US Equity","PX_LAST")</f>
        <v>235.12</v>
      </c>
      <c r="H7" s="33">
        <f t="shared" si="3"/>
        <v>47024</v>
      </c>
      <c r="I7" s="33">
        <f t="shared" si="3"/>
        <v>47024</v>
      </c>
      <c r="J7" s="33">
        <f t="shared" si="1"/>
        <v>0</v>
      </c>
      <c r="K7" s="34">
        <f>_xll.BDP(A7&amp;" US EQUITY", "FUND_EXPENSE_RATIO")</f>
        <v>0.04</v>
      </c>
      <c r="L7" s="34">
        <f>_xll.BDP(A7&amp;" US EQUITY", "EQY_DVD_YLD_12M")</f>
        <v>1.8872081848097806</v>
      </c>
      <c r="M7" s="28">
        <v>0.56000000000000005</v>
      </c>
      <c r="O7" s="6">
        <f>VLOOKUP($A7,'Factor Exposures'!$B$3:$O$168,MATCH(O$1,'Factor Exposures'!$B$2:$O$2,0),0)</f>
        <v>-1.9686846760282701E-4</v>
      </c>
      <c r="P7" s="2">
        <f>VLOOKUP($A7,'Factor Exposures'!$B$3:$S$168,MATCH(P$1,'Factor Exposures'!$B$2:$S$2,0),0)</f>
        <v>1.00206436910187</v>
      </c>
      <c r="Q7" s="2">
        <f>VLOOKUP($A7,'Factor Exposures'!$B$3:$S$168,MATCH(Q$1,'Factor Exposures'!$B$2:$S$2,0),0)</f>
        <v>-0.14370576118143699</v>
      </c>
      <c r="R7" s="2">
        <f>VLOOKUP($A7,'Factor Exposures'!$B$3:$S$168,MATCH(R$1,'Factor Exposures'!$B$2:$S$2,0),0)</f>
        <v>0</v>
      </c>
      <c r="S7" s="2">
        <f>VLOOKUP($A7,'Factor Exposures'!$B$3:$S$168,MATCH(S$1,'Factor Exposures'!$B$2:$S$2,0),0)</f>
        <v>5.2311679961499102E-2</v>
      </c>
      <c r="T7" s="2">
        <f>VLOOKUP($A7,'Factor Exposures'!$B$3:$S$168,MATCH(T$1,'Factor Exposures'!$B$2:$S$2,0),0)</f>
        <v>0</v>
      </c>
      <c r="U7" s="2">
        <f>VLOOKUP($A7,'Factor Exposures'!$B$3:$S$168,MATCH(U$1,'Factor Exposures'!$B$2:$S$2,0),0)</f>
        <v>0</v>
      </c>
      <c r="V7" s="2">
        <f>VLOOKUP($A7,'Factor Exposures'!$B$3:$S$168,MATCH(V$1,'Factor Exposures'!$B$2:$S$2,0),0)</f>
        <v>0</v>
      </c>
      <c r="W7" s="2">
        <f>VLOOKUP($A7,'Factor Exposures'!$B$3:$S$168,MATCH(W$1,'Factor Exposures'!$B$2:$S$2,0),0)</f>
        <v>0</v>
      </c>
      <c r="X7" s="2">
        <f>VLOOKUP($A7,'Factor Exposures'!$B$3:$S$168,MATCH(X$1,'Factor Exposures'!$B$2:$S$2,0),0)</f>
        <v>0</v>
      </c>
      <c r="Y7" s="2">
        <f>VLOOKUP($A7,'Factor Exposures'!$B$3:$S$168,MATCH(Y$1,'Factor Exposures'!$B$2:$S$2,0),0)</f>
        <v>0</v>
      </c>
      <c r="Z7" s="2">
        <f>VLOOKUP($A7,'Factor Exposures'!$B$3:$S$168,MATCH(Z$1,'Factor Exposures'!$B$2:$S$2,0),0)</f>
        <v>0</v>
      </c>
      <c r="AA7" s="2">
        <f>VLOOKUP($A7,'Factor Exposures'!$B$3:$S$168,MATCH(AA$1,'Factor Exposures'!$B$2:$S$2,0),0)</f>
        <v>0</v>
      </c>
      <c r="AB7" s="2">
        <f>VLOOKUP($A7,'Factor Exposures'!$B$3:$S$168,MATCH(AB$1,'Factor Exposures'!$B$2:$S$2,0),0)</f>
        <v>0</v>
      </c>
      <c r="AC7" s="2">
        <f>VLOOKUP($A7,'Factor Exposures'!$B$3:$S$168,MATCH(AC$1,'Factor Exposures'!$B$2:$S$2,0),0)</f>
        <v>0</v>
      </c>
      <c r="AD7" s="2">
        <f>VLOOKUP($A7,'Factor Exposures'!$B$3:$S$168,MATCH(AD$1,'Factor Exposures'!$B$2:$S$2,0),0)</f>
        <v>0</v>
      </c>
      <c r="AE7" s="2">
        <f>VLOOKUP($A7,'Factor Exposures'!$B$3:$S$168,MATCH(AE$1,'Factor Exposures'!$B$2:$S$2,0),0)</f>
        <v>0</v>
      </c>
      <c r="AF7" s="1">
        <v>1</v>
      </c>
      <c r="AG7" s="5">
        <v>1</v>
      </c>
      <c r="AH7" s="5"/>
      <c r="AI7" s="5"/>
    </row>
    <row r="8" spans="1:35" x14ac:dyDescent="0.25">
      <c r="A8" s="31" t="s">
        <v>22</v>
      </c>
      <c r="B8" s="31" t="s">
        <v>34</v>
      </c>
      <c r="C8" s="31" t="s">
        <v>29</v>
      </c>
      <c r="D8" s="31" t="s">
        <v>42</v>
      </c>
      <c r="E8" s="32">
        <v>741</v>
      </c>
      <c r="F8" s="32">
        <f t="shared" si="2"/>
        <v>741</v>
      </c>
      <c r="G8" s="32">
        <f>_xll.BDP($A8&amp;" US Equity","PX_LAST")</f>
        <v>47.518999999999998</v>
      </c>
      <c r="H8" s="33">
        <f t="shared" si="3"/>
        <v>35211.578999999998</v>
      </c>
      <c r="I8" s="33">
        <f t="shared" si="3"/>
        <v>35211.578999999998</v>
      </c>
      <c r="J8" s="33">
        <f t="shared" si="1"/>
        <v>0</v>
      </c>
      <c r="K8" s="34">
        <f>_xll.BDP(A8&amp;" US EQUITY", "FUND_EXPENSE_RATIO")</f>
        <v>0.11</v>
      </c>
      <c r="L8" s="34">
        <f>_xll.BDP(A8&amp;" US EQUITY", "EQY_DVD_YLD_12M")</f>
        <v>2.7631052079386689</v>
      </c>
      <c r="M8" s="28">
        <v>1.02</v>
      </c>
      <c r="O8" s="6">
        <f>VLOOKUP($A8,'Factor Exposures'!$B$3:$O$168,MATCH(O$1,'Factor Exposures'!$B$2:$O$2,0),0)</f>
        <v>-1.8197388107366499E-3</v>
      </c>
      <c r="P8" s="2">
        <f>VLOOKUP($A8,'Factor Exposures'!$B$3:$S$168,MATCH(P$1,'Factor Exposures'!$B$2:$S$2,0),0)</f>
        <v>0</v>
      </c>
      <c r="Q8" s="2">
        <f>VLOOKUP($A8,'Factor Exposures'!$B$3:$S$168,MATCH(Q$1,'Factor Exposures'!$B$2:$S$2,0),0)</f>
        <v>0</v>
      </c>
      <c r="R8" s="2">
        <f>VLOOKUP($A8,'Factor Exposures'!$B$3:$S$168,MATCH(R$1,'Factor Exposures'!$B$2:$S$2,0),0)</f>
        <v>0</v>
      </c>
      <c r="S8" s="2">
        <f>VLOOKUP($A8,'Factor Exposures'!$B$3:$S$168,MATCH(S$1,'Factor Exposures'!$B$2:$S$2,0),0)</f>
        <v>0</v>
      </c>
      <c r="T8" s="2">
        <f>VLOOKUP($A8,'Factor Exposures'!$B$3:$S$168,MATCH(T$1,'Factor Exposures'!$B$2:$S$2,0),0)</f>
        <v>0</v>
      </c>
      <c r="U8" s="2">
        <f>VLOOKUP($A8,'Factor Exposures'!$B$3:$S$168,MATCH(U$1,'Factor Exposures'!$B$2:$S$2,0),0)</f>
        <v>0</v>
      </c>
      <c r="V8" s="2">
        <f>VLOOKUP($A8,'Factor Exposures'!$B$3:$S$168,MATCH(V$1,'Factor Exposures'!$B$2:$S$2,0),0)</f>
        <v>1.0486130804940701</v>
      </c>
      <c r="W8" s="2">
        <f>VLOOKUP($A8,'Factor Exposures'!$B$3:$S$168,MATCH(W$1,'Factor Exposures'!$B$2:$S$2,0),0)</f>
        <v>0</v>
      </c>
      <c r="X8" s="2">
        <f>VLOOKUP($A8,'Factor Exposures'!$B$3:$S$168,MATCH(X$1,'Factor Exposures'!$B$2:$S$2,0),0)</f>
        <v>0</v>
      </c>
      <c r="Y8" s="2">
        <f>VLOOKUP($A8,'Factor Exposures'!$B$3:$S$168,MATCH(Y$1,'Factor Exposures'!$B$2:$S$2,0),0)</f>
        <v>0</v>
      </c>
      <c r="Z8" s="2">
        <f>VLOOKUP($A8,'Factor Exposures'!$B$3:$S$168,MATCH(Z$1,'Factor Exposures'!$B$2:$S$2,0),0)</f>
        <v>0</v>
      </c>
      <c r="AA8" s="2">
        <f>VLOOKUP($A8,'Factor Exposures'!$B$3:$S$168,MATCH(AA$1,'Factor Exposures'!$B$2:$S$2,0),0)</f>
        <v>0</v>
      </c>
      <c r="AB8" s="2">
        <f>VLOOKUP($A8,'Factor Exposures'!$B$3:$S$168,MATCH(AB$1,'Factor Exposures'!$B$2:$S$2,0),0)</f>
        <v>0</v>
      </c>
      <c r="AC8" s="2">
        <f>VLOOKUP($A8,'Factor Exposures'!$B$3:$S$168,MATCH(AC$1,'Factor Exposures'!$B$2:$S$2,0),0)</f>
        <v>0</v>
      </c>
      <c r="AD8" s="2">
        <f>VLOOKUP($A8,'Factor Exposures'!$B$3:$S$168,MATCH(AD$1,'Factor Exposures'!$B$2:$S$2,0),0)</f>
        <v>0</v>
      </c>
      <c r="AE8" s="2">
        <f>VLOOKUP($A8,'Factor Exposures'!$B$3:$S$168,MATCH(AE$1,'Factor Exposures'!$B$2:$S$2,0),0)</f>
        <v>0</v>
      </c>
      <c r="AF8" s="1">
        <v>1</v>
      </c>
      <c r="AG8" s="5"/>
      <c r="AH8" s="5">
        <f>1-AI8</f>
        <v>0.81099999999999994</v>
      </c>
      <c r="AI8" s="5">
        <v>0.189</v>
      </c>
    </row>
    <row r="9" spans="1:35" x14ac:dyDescent="0.25">
      <c r="A9" s="31" t="s">
        <v>23</v>
      </c>
      <c r="B9" s="31" t="s">
        <v>35</v>
      </c>
      <c r="C9" s="31" t="s">
        <v>29</v>
      </c>
      <c r="D9" s="31" t="s">
        <v>42</v>
      </c>
      <c r="E9" s="32">
        <v>251</v>
      </c>
      <c r="F9" s="32">
        <f t="shared" si="2"/>
        <v>251</v>
      </c>
      <c r="G9" s="32">
        <f>_xll.BDP($A9&amp;" US Equity","PX_LAST")</f>
        <v>120.82</v>
      </c>
      <c r="H9" s="33">
        <f t="shared" si="3"/>
        <v>30325.82</v>
      </c>
      <c r="I9" s="33">
        <f t="shared" si="3"/>
        <v>30325.82</v>
      </c>
      <c r="J9" s="33">
        <f t="shared" si="1"/>
        <v>0</v>
      </c>
      <c r="K9" s="34">
        <f>_xll.BDP(A9&amp;" US EQUITY", "FUND_EXPENSE_RATIO")</f>
        <v>0.08</v>
      </c>
      <c r="L9" s="34">
        <f>_xll.BDP(A9&amp;" US EQUITY", "EQY_DVD_YLD_12M")</f>
        <v>1.3292500799488813</v>
      </c>
      <c r="M9" s="28">
        <v>0.41</v>
      </c>
      <c r="O9" s="6">
        <f>VLOOKUP($A9,'Factor Exposures'!$B$3:$O$168,MATCH(O$1,'Factor Exposures'!$B$2:$O$2,0),0)</f>
        <v>-6.3432568648019998E-4</v>
      </c>
      <c r="P9" s="2">
        <f>VLOOKUP($A9,'Factor Exposures'!$B$3:$S$168,MATCH(P$1,'Factor Exposures'!$B$2:$S$2,0),0)</f>
        <v>1.0472824883392799</v>
      </c>
      <c r="Q9" s="2">
        <f>VLOOKUP($A9,'Factor Exposures'!$B$3:$S$168,MATCH(Q$1,'Factor Exposures'!$B$2:$S$2,0),0)</f>
        <v>-0.108902434620071</v>
      </c>
      <c r="R9" s="2">
        <f>VLOOKUP($A9,'Factor Exposures'!$B$3:$S$168,MATCH(R$1,'Factor Exposures'!$B$2:$S$2,0),0)</f>
        <v>-0.234801870686867</v>
      </c>
      <c r="S9" s="2">
        <f>VLOOKUP($A9,'Factor Exposures'!$B$3:$S$168,MATCH(S$1,'Factor Exposures'!$B$2:$S$2,0),0)</f>
        <v>0</v>
      </c>
      <c r="T9" s="2">
        <f>VLOOKUP($A9,'Factor Exposures'!$B$3:$S$168,MATCH(T$1,'Factor Exposures'!$B$2:$S$2,0),0)</f>
        <v>0</v>
      </c>
      <c r="U9" s="2">
        <f>VLOOKUP($A9,'Factor Exposures'!$B$3:$S$168,MATCH(U$1,'Factor Exposures'!$B$2:$S$2,0),0)</f>
        <v>0</v>
      </c>
      <c r="V9" s="2">
        <f>VLOOKUP($A9,'Factor Exposures'!$B$3:$S$168,MATCH(V$1,'Factor Exposures'!$B$2:$S$2,0),0)</f>
        <v>0</v>
      </c>
      <c r="W9" s="2">
        <f>VLOOKUP($A9,'Factor Exposures'!$B$3:$S$168,MATCH(W$1,'Factor Exposures'!$B$2:$S$2,0),0)</f>
        <v>0</v>
      </c>
      <c r="X9" s="2">
        <f>VLOOKUP($A9,'Factor Exposures'!$B$3:$S$168,MATCH(X$1,'Factor Exposures'!$B$2:$S$2,0),0)</f>
        <v>0</v>
      </c>
      <c r="Y9" s="2">
        <f>VLOOKUP($A9,'Factor Exposures'!$B$3:$S$168,MATCH(Y$1,'Factor Exposures'!$B$2:$S$2,0),0)</f>
        <v>0</v>
      </c>
      <c r="Z9" s="2">
        <f>VLOOKUP($A9,'Factor Exposures'!$B$3:$S$168,MATCH(Z$1,'Factor Exposures'!$B$2:$S$2,0),0)</f>
        <v>0</v>
      </c>
      <c r="AA9" s="2">
        <f>VLOOKUP($A9,'Factor Exposures'!$B$3:$S$168,MATCH(AA$1,'Factor Exposures'!$B$2:$S$2,0),0)</f>
        <v>0</v>
      </c>
      <c r="AB9" s="2">
        <f>VLOOKUP($A9,'Factor Exposures'!$B$3:$S$168,MATCH(AB$1,'Factor Exposures'!$B$2:$S$2,0),0)</f>
        <v>0</v>
      </c>
      <c r="AC9" s="2">
        <f>VLOOKUP($A9,'Factor Exposures'!$B$3:$S$168,MATCH(AC$1,'Factor Exposures'!$B$2:$S$2,0),0)</f>
        <v>0</v>
      </c>
      <c r="AD9" s="2">
        <f>VLOOKUP($A9,'Factor Exposures'!$B$3:$S$168,MATCH(AD$1,'Factor Exposures'!$B$2:$S$2,0),0)</f>
        <v>0</v>
      </c>
      <c r="AE9" s="2">
        <f>VLOOKUP($A9,'Factor Exposures'!$B$3:$S$168,MATCH(AE$1,'Factor Exposures'!$B$2:$S$2,0),0)</f>
        <v>0</v>
      </c>
      <c r="AF9" s="1">
        <v>1</v>
      </c>
      <c r="AG9" s="5">
        <v>1</v>
      </c>
      <c r="AH9" s="5"/>
      <c r="AI9" s="5"/>
    </row>
    <row r="10" spans="1:35" x14ac:dyDescent="0.25">
      <c r="A10" s="31" t="s">
        <v>24</v>
      </c>
      <c r="B10" s="31" t="s">
        <v>36</v>
      </c>
      <c r="C10" s="31" t="s">
        <v>29</v>
      </c>
      <c r="D10" s="31" t="s">
        <v>42</v>
      </c>
      <c r="E10" s="32">
        <v>279</v>
      </c>
      <c r="F10" s="32">
        <f t="shared" si="2"/>
        <v>279</v>
      </c>
      <c r="G10" s="32">
        <f>_xll.BDP($A10&amp;" US Equity","PX_LAST")</f>
        <v>94.35</v>
      </c>
      <c r="H10" s="33">
        <f t="shared" si="3"/>
        <v>26323.649999999998</v>
      </c>
      <c r="I10" s="33">
        <f t="shared" si="3"/>
        <v>26323.649999999998</v>
      </c>
      <c r="J10" s="33">
        <f t="shared" si="1"/>
        <v>0</v>
      </c>
      <c r="K10" s="34">
        <f>_xll.BDP(A10&amp;" US EQUITY", "FUND_EXPENSE_RATIO")</f>
        <v>0.08</v>
      </c>
      <c r="L10" s="34">
        <f>_xll.BDP(A10&amp;" US EQUITY", "EQY_DVD_YLD_12M")</f>
        <v>2.4324325132951197</v>
      </c>
      <c r="M10" s="28">
        <v>0.74</v>
      </c>
      <c r="O10" s="6">
        <f>VLOOKUP($A10,'Factor Exposures'!$B$3:$O$168,MATCH(O$1,'Factor Exposures'!$B$2:$O$2,0),0)</f>
        <v>-3.6150123112845299E-4</v>
      </c>
      <c r="P10" s="2">
        <f>VLOOKUP($A10,'Factor Exposures'!$B$3:$S$168,MATCH(P$1,'Factor Exposures'!$B$2:$S$2,0),0)</f>
        <v>0.98111896697477496</v>
      </c>
      <c r="Q10" s="2">
        <f>VLOOKUP($A10,'Factor Exposures'!$B$3:$S$168,MATCH(Q$1,'Factor Exposures'!$B$2:$S$2,0),0)</f>
        <v>-0.176203291463506</v>
      </c>
      <c r="R10" s="2">
        <f>VLOOKUP($A10,'Factor Exposures'!$B$3:$S$168,MATCH(R$1,'Factor Exposures'!$B$2:$S$2,0),0)</f>
        <v>0.15328751363424201</v>
      </c>
      <c r="S10" s="2">
        <f>VLOOKUP($A10,'Factor Exposures'!$B$3:$S$168,MATCH(S$1,'Factor Exposures'!$B$2:$S$2,0),0)</f>
        <v>0</v>
      </c>
      <c r="T10" s="2">
        <f>VLOOKUP($A10,'Factor Exposures'!$B$3:$S$168,MATCH(T$1,'Factor Exposures'!$B$2:$S$2,0),0)</f>
        <v>0.18797797041643899</v>
      </c>
      <c r="U10" s="2">
        <f>VLOOKUP($A10,'Factor Exposures'!$B$3:$S$168,MATCH(U$1,'Factor Exposures'!$B$2:$S$2,0),0)</f>
        <v>0</v>
      </c>
      <c r="V10" s="2">
        <f>VLOOKUP($A10,'Factor Exposures'!$B$3:$S$168,MATCH(V$1,'Factor Exposures'!$B$2:$S$2,0),0)</f>
        <v>0</v>
      </c>
      <c r="W10" s="2">
        <f>VLOOKUP($A10,'Factor Exposures'!$B$3:$S$168,MATCH(W$1,'Factor Exposures'!$B$2:$S$2,0),0)</f>
        <v>0</v>
      </c>
      <c r="X10" s="2">
        <f>VLOOKUP($A10,'Factor Exposures'!$B$3:$S$168,MATCH(X$1,'Factor Exposures'!$B$2:$S$2,0),0)</f>
        <v>0</v>
      </c>
      <c r="Y10" s="2">
        <f>VLOOKUP($A10,'Factor Exposures'!$B$3:$S$168,MATCH(Y$1,'Factor Exposures'!$B$2:$S$2,0),0)</f>
        <v>0</v>
      </c>
      <c r="Z10" s="2">
        <f>VLOOKUP($A10,'Factor Exposures'!$B$3:$S$168,MATCH(Z$1,'Factor Exposures'!$B$2:$S$2,0),0)</f>
        <v>0</v>
      </c>
      <c r="AA10" s="2">
        <f>VLOOKUP($A10,'Factor Exposures'!$B$3:$S$168,MATCH(AA$1,'Factor Exposures'!$B$2:$S$2,0),0)</f>
        <v>0</v>
      </c>
      <c r="AB10" s="2">
        <f>VLOOKUP($A10,'Factor Exposures'!$B$3:$S$168,MATCH(AB$1,'Factor Exposures'!$B$2:$S$2,0),0)</f>
        <v>0</v>
      </c>
      <c r="AC10" s="2">
        <f>VLOOKUP($A10,'Factor Exposures'!$B$3:$S$168,MATCH(AC$1,'Factor Exposures'!$B$2:$S$2,0),0)</f>
        <v>0</v>
      </c>
      <c r="AD10" s="2">
        <f>VLOOKUP($A10,'Factor Exposures'!$B$3:$S$168,MATCH(AD$1,'Factor Exposures'!$B$2:$S$2,0),0)</f>
        <v>0</v>
      </c>
      <c r="AE10" s="2">
        <f>VLOOKUP($A10,'Factor Exposures'!$B$3:$S$168,MATCH(AE$1,'Factor Exposures'!$B$2:$S$2,0),0)</f>
        <v>0</v>
      </c>
      <c r="AF10" s="1">
        <v>1</v>
      </c>
      <c r="AG10" s="5">
        <v>1</v>
      </c>
      <c r="AH10" s="5"/>
      <c r="AI10" s="5"/>
    </row>
    <row r="11" spans="1:35" x14ac:dyDescent="0.25">
      <c r="A11" s="31" t="s">
        <v>25</v>
      </c>
      <c r="B11" s="31" t="s">
        <v>37</v>
      </c>
      <c r="C11" s="31" t="s">
        <v>29</v>
      </c>
      <c r="D11" s="31" t="s">
        <v>42</v>
      </c>
      <c r="E11" s="32">
        <v>106.41</v>
      </c>
      <c r="F11" s="32">
        <f t="shared" si="2"/>
        <v>106.41</v>
      </c>
      <c r="G11" s="32">
        <f>_xll.BDP($A11&amp;" US Equity","PX_LAST")</f>
        <v>35.460999999999999</v>
      </c>
      <c r="H11" s="33">
        <f t="shared" si="3"/>
        <v>3773.4050099999999</v>
      </c>
      <c r="I11" s="33">
        <f t="shared" si="3"/>
        <v>3773.4050099999999</v>
      </c>
      <c r="J11" s="33">
        <f t="shared" si="1"/>
        <v>0</v>
      </c>
      <c r="K11" s="34">
        <v>0</v>
      </c>
      <c r="L11" s="34">
        <f>_xll.BDP(A11&amp;" US EQUITY", "EQY_DVD_YLD_12M")</f>
        <v>2.9327993058656761</v>
      </c>
      <c r="M11" s="28">
        <v>0</v>
      </c>
      <c r="O11" s="6">
        <f>VLOOKUP($A11,'Factor Exposures'!$B$3:$O$168,MATCH(O$1,'Factor Exposures'!$B$2:$O$2,0),0)</f>
        <v>-7.03154127858287E-4</v>
      </c>
      <c r="P11" s="2">
        <f>VLOOKUP($A11,'Factor Exposures'!$B$3:$S$168,MATCH(P$1,'Factor Exposures'!$B$2:$S$2,0),0)</f>
        <v>0.93523851818806603</v>
      </c>
      <c r="Q11" s="2">
        <f>VLOOKUP($A11,'Factor Exposures'!$B$3:$S$168,MATCH(Q$1,'Factor Exposures'!$B$2:$S$2,0),0)</f>
        <v>0</v>
      </c>
      <c r="R11" s="2">
        <f>VLOOKUP($A11,'Factor Exposures'!$B$3:$S$168,MATCH(R$1,'Factor Exposures'!$B$2:$S$2,0),0)</f>
        <v>0</v>
      </c>
      <c r="S11" s="2">
        <f>VLOOKUP($A11,'Factor Exposures'!$B$3:$S$168,MATCH(S$1,'Factor Exposures'!$B$2:$S$2,0),0)</f>
        <v>0</v>
      </c>
      <c r="T11" s="2">
        <f>VLOOKUP($A11,'Factor Exposures'!$B$3:$S$168,MATCH(T$1,'Factor Exposures'!$B$2:$S$2,0),0)</f>
        <v>0</v>
      </c>
      <c r="U11" s="2">
        <f>VLOOKUP($A11,'Factor Exposures'!$B$3:$S$168,MATCH(U$1,'Factor Exposures'!$B$2:$S$2,0),0)</f>
        <v>0</v>
      </c>
      <c r="V11" s="2">
        <f>VLOOKUP($A11,'Factor Exposures'!$B$3:$S$168,MATCH(V$1,'Factor Exposures'!$B$2:$S$2,0),0)</f>
        <v>0</v>
      </c>
      <c r="W11" s="2">
        <f>VLOOKUP($A11,'Factor Exposures'!$B$3:$S$168,MATCH(W$1,'Factor Exposures'!$B$2:$S$2,0),0)</f>
        <v>0</v>
      </c>
      <c r="X11" s="2">
        <f>VLOOKUP($A11,'Factor Exposures'!$B$3:$S$168,MATCH(X$1,'Factor Exposures'!$B$2:$S$2,0),0)</f>
        <v>0</v>
      </c>
      <c r="Y11" s="2">
        <f>VLOOKUP($A11,'Factor Exposures'!$B$3:$S$168,MATCH(Y$1,'Factor Exposures'!$B$2:$S$2,0),0)</f>
        <v>0</v>
      </c>
      <c r="Z11" s="2">
        <f>VLOOKUP($A11,'Factor Exposures'!$B$3:$S$168,MATCH(Z$1,'Factor Exposures'!$B$2:$S$2,0),0)</f>
        <v>0</v>
      </c>
      <c r="AA11" s="2">
        <f>VLOOKUP($A11,'Factor Exposures'!$B$3:$S$168,MATCH(AA$1,'Factor Exposures'!$B$2:$S$2,0),0)</f>
        <v>0</v>
      </c>
      <c r="AB11" s="2">
        <f>VLOOKUP($A11,'Factor Exposures'!$B$3:$S$168,MATCH(AB$1,'Factor Exposures'!$B$2:$S$2,0),0)</f>
        <v>0</v>
      </c>
      <c r="AC11" s="2">
        <f>VLOOKUP($A11,'Factor Exposures'!$B$3:$S$168,MATCH(AC$1,'Factor Exposures'!$B$2:$S$2,0),0)</f>
        <v>0</v>
      </c>
      <c r="AD11" s="2">
        <f>VLOOKUP($A11,'Factor Exposures'!$B$3:$S$168,MATCH(AD$1,'Factor Exposures'!$B$2:$S$2,0),0)</f>
        <v>0</v>
      </c>
      <c r="AE11" s="2">
        <f>VLOOKUP($A11,'Factor Exposures'!$B$3:$S$168,MATCH(AE$1,'Factor Exposures'!$B$2:$S$2,0),0)</f>
        <v>0</v>
      </c>
      <c r="AF11" s="1">
        <v>1</v>
      </c>
      <c r="AG11" s="5">
        <v>1</v>
      </c>
      <c r="AH11" s="5"/>
      <c r="AI11" s="5"/>
    </row>
    <row r="12" spans="1:35" x14ac:dyDescent="0.25">
      <c r="A12" s="31" t="s">
        <v>26</v>
      </c>
      <c r="B12" s="31" t="s">
        <v>38</v>
      </c>
      <c r="C12" s="31" t="s">
        <v>29</v>
      </c>
      <c r="D12" s="31" t="s">
        <v>42</v>
      </c>
      <c r="E12" s="32">
        <v>100</v>
      </c>
      <c r="F12" s="32">
        <f t="shared" si="2"/>
        <v>100</v>
      </c>
      <c r="G12" s="32">
        <f>_xll.BDP($A12&amp;" US Equity","PX_LAST")</f>
        <v>23.55</v>
      </c>
      <c r="H12" s="33">
        <f t="shared" si="3"/>
        <v>2355</v>
      </c>
      <c r="I12" s="33">
        <f t="shared" si="3"/>
        <v>2355</v>
      </c>
      <c r="J12" s="33">
        <f t="shared" si="1"/>
        <v>0</v>
      </c>
      <c r="K12" s="34">
        <v>0</v>
      </c>
      <c r="L12" s="34">
        <v>0</v>
      </c>
      <c r="M12" s="28">
        <v>0</v>
      </c>
      <c r="O12" s="6">
        <f>VLOOKUP($A12,'Factor Exposures'!$B$3:$O$168,MATCH(O$1,'Factor Exposures'!$B$2:$O$2,0),0)</f>
        <v>-1.05513874155462E-2</v>
      </c>
      <c r="P12" s="2">
        <f>VLOOKUP($A12,'Factor Exposures'!$B$3:$S$168,MATCH(P$1,'Factor Exposures'!$B$2:$S$2,0),0)</f>
        <v>0</v>
      </c>
      <c r="Q12" s="2">
        <f>VLOOKUP($A12,'Factor Exposures'!$B$3:$S$168,MATCH(Q$1,'Factor Exposures'!$B$2:$S$2,0),0)</f>
        <v>0</v>
      </c>
      <c r="R12" s="2">
        <f>VLOOKUP($A12,'Factor Exposures'!$B$3:$S$168,MATCH(R$1,'Factor Exposures'!$B$2:$S$2,0),0)</f>
        <v>0</v>
      </c>
      <c r="S12" s="2">
        <f>VLOOKUP($A12,'Factor Exposures'!$B$3:$S$168,MATCH(S$1,'Factor Exposures'!$B$2:$S$2,0),0)</f>
        <v>0</v>
      </c>
      <c r="T12" s="2">
        <f>VLOOKUP($A12,'Factor Exposures'!$B$3:$S$168,MATCH(T$1,'Factor Exposures'!$B$2:$S$2,0),0)</f>
        <v>0</v>
      </c>
      <c r="U12" s="2">
        <f>VLOOKUP($A12,'Factor Exposures'!$B$3:$S$168,MATCH(U$1,'Factor Exposures'!$B$2:$S$2,0),0)</f>
        <v>0.67249403981615996</v>
      </c>
      <c r="V12" s="2">
        <f>VLOOKUP($A12,'Factor Exposures'!$B$3:$S$168,MATCH(V$1,'Factor Exposures'!$B$2:$S$2,0),0)</f>
        <v>0</v>
      </c>
      <c r="W12" s="2">
        <f>VLOOKUP($A12,'Factor Exposures'!$B$3:$S$168,MATCH(W$1,'Factor Exposures'!$B$2:$S$2,0),0)</f>
        <v>0</v>
      </c>
      <c r="X12" s="2">
        <f>VLOOKUP($A12,'Factor Exposures'!$B$3:$S$168,MATCH(X$1,'Factor Exposures'!$B$2:$S$2,0),0)</f>
        <v>0</v>
      </c>
      <c r="Y12" s="2">
        <f>VLOOKUP($A12,'Factor Exposures'!$B$3:$S$168,MATCH(Y$1,'Factor Exposures'!$B$2:$S$2,0),0)</f>
        <v>0</v>
      </c>
      <c r="Z12" s="2">
        <f>VLOOKUP($A12,'Factor Exposures'!$B$3:$S$168,MATCH(Z$1,'Factor Exposures'!$B$2:$S$2,0),0)</f>
        <v>0</v>
      </c>
      <c r="AA12" s="2">
        <f>VLOOKUP($A12,'Factor Exposures'!$B$3:$S$168,MATCH(AA$1,'Factor Exposures'!$B$2:$S$2,0),0)</f>
        <v>0</v>
      </c>
      <c r="AB12" s="2">
        <f>VLOOKUP($A12,'Factor Exposures'!$B$3:$S$168,MATCH(AB$1,'Factor Exposures'!$B$2:$S$2,0),0)</f>
        <v>0</v>
      </c>
      <c r="AC12" s="2">
        <f>VLOOKUP($A12,'Factor Exposures'!$B$3:$S$168,MATCH(AC$1,'Factor Exposures'!$B$2:$S$2,0),0)</f>
        <v>0</v>
      </c>
      <c r="AD12" s="2">
        <f>VLOOKUP($A12,'Factor Exposures'!$B$3:$S$168,MATCH(AD$1,'Factor Exposures'!$B$2:$S$2,0),0)</f>
        <v>0</v>
      </c>
      <c r="AE12" s="2">
        <f>VLOOKUP($A12,'Factor Exposures'!$B$3:$S$168,MATCH(AE$1,'Factor Exposures'!$B$2:$S$2,0),0)</f>
        <v>0</v>
      </c>
      <c r="AF12" s="1">
        <v>1</v>
      </c>
      <c r="AG12" s="5">
        <v>1</v>
      </c>
      <c r="AH12" s="5"/>
      <c r="AI12" s="5"/>
    </row>
    <row r="13" spans="1:35" x14ac:dyDescent="0.25">
      <c r="A13" s="31" t="s">
        <v>27</v>
      </c>
      <c r="B13" s="31" t="s">
        <v>39</v>
      </c>
      <c r="C13" s="31" t="s">
        <v>29</v>
      </c>
      <c r="D13" s="31" t="s">
        <v>42</v>
      </c>
      <c r="E13" s="32">
        <v>202.41</v>
      </c>
      <c r="F13" s="32">
        <f t="shared" si="2"/>
        <v>202.41</v>
      </c>
      <c r="G13" s="32">
        <f>_xll.BDP($A13&amp;" US Equity","PX_LAST")</f>
        <v>11.4</v>
      </c>
      <c r="H13" s="33">
        <f t="shared" si="3"/>
        <v>2307.4740000000002</v>
      </c>
      <c r="I13" s="33">
        <f t="shared" si="3"/>
        <v>2307.4740000000002</v>
      </c>
      <c r="J13" s="33">
        <f t="shared" si="1"/>
        <v>0</v>
      </c>
      <c r="K13" s="34">
        <v>0</v>
      </c>
      <c r="L13" s="34">
        <f>_xll.BDP(A13&amp;" US EQUITY", "EQY_DVD_YLD_12M")</f>
        <v>5.2631581038759467</v>
      </c>
      <c r="M13" s="28">
        <v>0</v>
      </c>
      <c r="O13" s="6">
        <f>VLOOKUP($A13,'Factor Exposures'!$B$3:$O$168,MATCH(O$1,'Factor Exposures'!$B$2:$O$2,0),0)</f>
        <v>-1.09258609570211E-2</v>
      </c>
      <c r="P13" s="2">
        <f>VLOOKUP($A13,'Factor Exposures'!$B$3:$S$168,MATCH(P$1,'Factor Exposures'!$B$2:$S$2,0),0)</f>
        <v>1.5999857796149599</v>
      </c>
      <c r="Q13" s="2">
        <f>VLOOKUP($A13,'Factor Exposures'!$B$3:$S$168,MATCH(Q$1,'Factor Exposures'!$B$2:$S$2,0),0)</f>
        <v>0</v>
      </c>
      <c r="R13" s="2">
        <f>VLOOKUP($A13,'Factor Exposures'!$B$3:$S$168,MATCH(R$1,'Factor Exposures'!$B$2:$S$2,0),0)</f>
        <v>0</v>
      </c>
      <c r="S13" s="2">
        <f>VLOOKUP($A13,'Factor Exposures'!$B$3:$S$168,MATCH(S$1,'Factor Exposures'!$B$2:$S$2,0),0)</f>
        <v>0</v>
      </c>
      <c r="T13" s="2">
        <f>VLOOKUP($A13,'Factor Exposures'!$B$3:$S$168,MATCH(T$1,'Factor Exposures'!$B$2:$S$2,0),0)</f>
        <v>0</v>
      </c>
      <c r="U13" s="2">
        <f>VLOOKUP($A13,'Factor Exposures'!$B$3:$S$168,MATCH(U$1,'Factor Exposures'!$B$2:$S$2,0),0)</f>
        <v>0</v>
      </c>
      <c r="V13" s="2">
        <f>VLOOKUP($A13,'Factor Exposures'!$B$3:$S$168,MATCH(V$1,'Factor Exposures'!$B$2:$S$2,0),0)</f>
        <v>0</v>
      </c>
      <c r="W13" s="2">
        <f>VLOOKUP($A13,'Factor Exposures'!$B$3:$S$168,MATCH(W$1,'Factor Exposures'!$B$2:$S$2,0),0)</f>
        <v>0</v>
      </c>
      <c r="X13" s="2">
        <f>VLOOKUP($A13,'Factor Exposures'!$B$3:$S$168,MATCH(X$1,'Factor Exposures'!$B$2:$S$2,0),0)</f>
        <v>0</v>
      </c>
      <c r="Y13" s="2">
        <f>VLOOKUP($A13,'Factor Exposures'!$B$3:$S$168,MATCH(Y$1,'Factor Exposures'!$B$2:$S$2,0),0)</f>
        <v>0</v>
      </c>
      <c r="Z13" s="2">
        <f>VLOOKUP($A13,'Factor Exposures'!$B$3:$S$168,MATCH(Z$1,'Factor Exposures'!$B$2:$S$2,0),0)</f>
        <v>0</v>
      </c>
      <c r="AA13" s="2">
        <f>VLOOKUP($A13,'Factor Exposures'!$B$3:$S$168,MATCH(AA$1,'Factor Exposures'!$B$2:$S$2,0),0)</f>
        <v>0</v>
      </c>
      <c r="AB13" s="2">
        <f>VLOOKUP($A13,'Factor Exposures'!$B$3:$S$168,MATCH(AB$1,'Factor Exposures'!$B$2:$S$2,0),0)</f>
        <v>0</v>
      </c>
      <c r="AC13" s="2">
        <f>VLOOKUP($A13,'Factor Exposures'!$B$3:$S$168,MATCH(AC$1,'Factor Exposures'!$B$2:$S$2,0),0)</f>
        <v>0</v>
      </c>
      <c r="AD13" s="2">
        <f>VLOOKUP($A13,'Factor Exposures'!$B$3:$S$168,MATCH(AD$1,'Factor Exposures'!$B$2:$S$2,0),0)</f>
        <v>0</v>
      </c>
      <c r="AE13" s="2">
        <f>VLOOKUP($A13,'Factor Exposures'!$B$3:$S$168,MATCH(AE$1,'Factor Exposures'!$B$2:$S$2,0),0)</f>
        <v>0</v>
      </c>
      <c r="AF13" s="1">
        <v>1</v>
      </c>
      <c r="AG13" s="5">
        <v>1</v>
      </c>
      <c r="AH13" s="5"/>
      <c r="AI13" s="5"/>
    </row>
    <row r="14" spans="1:35" x14ac:dyDescent="0.25">
      <c r="A14" s="31" t="s">
        <v>28</v>
      </c>
      <c r="B14" s="31" t="s">
        <v>40</v>
      </c>
      <c r="C14" s="31" t="s">
        <v>29</v>
      </c>
      <c r="D14" s="31" t="s">
        <v>42</v>
      </c>
      <c r="E14" s="32">
        <v>40</v>
      </c>
      <c r="F14" s="32">
        <f t="shared" si="2"/>
        <v>40</v>
      </c>
      <c r="G14" s="32">
        <f>_xll.BDP($A14&amp;" US Equity","PX_LAST")</f>
        <v>0.48330000000000001</v>
      </c>
      <c r="H14" s="33">
        <f t="shared" si="3"/>
        <v>19.332000000000001</v>
      </c>
      <c r="I14" s="33">
        <f t="shared" si="3"/>
        <v>19.332000000000001</v>
      </c>
      <c r="J14" s="33">
        <f t="shared" si="1"/>
        <v>0</v>
      </c>
      <c r="K14" s="34">
        <v>0</v>
      </c>
      <c r="L14" s="34">
        <v>0</v>
      </c>
      <c r="M14" s="28">
        <v>0</v>
      </c>
      <c r="O14" s="6">
        <f>VLOOKUP($A14,'Factor Exposures'!$B$3:$O$168,MATCH(O$1,'Factor Exposures'!$B$2:$O$2,0),0)</f>
        <v>-5.88061185965051E-2</v>
      </c>
      <c r="P14" s="2">
        <f>VLOOKUP($A14,'Factor Exposures'!$B$3:$S$168,MATCH(P$1,'Factor Exposures'!$B$2:$S$2,0),0)</f>
        <v>0</v>
      </c>
      <c r="Q14" s="2">
        <f>VLOOKUP($A14,'Factor Exposures'!$B$3:$S$168,MATCH(Q$1,'Factor Exposures'!$B$2:$S$2,0),0)</f>
        <v>0</v>
      </c>
      <c r="R14" s="2">
        <f>VLOOKUP($A14,'Factor Exposures'!$B$3:$S$168,MATCH(R$1,'Factor Exposures'!$B$2:$S$2,0),0)</f>
        <v>0</v>
      </c>
      <c r="S14" s="2">
        <f>VLOOKUP($A14,'Factor Exposures'!$B$3:$S$168,MATCH(S$1,'Factor Exposures'!$B$2:$S$2,0),0)</f>
        <v>0</v>
      </c>
      <c r="T14" s="2">
        <f>VLOOKUP($A14,'Factor Exposures'!$B$3:$S$168,MATCH(T$1,'Factor Exposures'!$B$2:$S$2,0),0)</f>
        <v>0</v>
      </c>
      <c r="U14" s="2">
        <f>VLOOKUP($A14,'Factor Exposures'!$B$3:$S$168,MATCH(U$1,'Factor Exposures'!$B$2:$S$2,0),0)</f>
        <v>0</v>
      </c>
      <c r="V14" s="2">
        <f>VLOOKUP($A14,'Factor Exposures'!$B$3:$S$168,MATCH(V$1,'Factor Exposures'!$B$2:$S$2,0),0)</f>
        <v>2.1616491972040901</v>
      </c>
      <c r="W14" s="2">
        <f>VLOOKUP($A14,'Factor Exposures'!$B$3:$S$168,MATCH(W$1,'Factor Exposures'!$B$2:$S$2,0),0)</f>
        <v>0</v>
      </c>
      <c r="X14" s="2">
        <f>VLOOKUP($A14,'Factor Exposures'!$B$3:$S$168,MATCH(X$1,'Factor Exposures'!$B$2:$S$2,0),0)</f>
        <v>0</v>
      </c>
      <c r="Y14" s="2">
        <f>VLOOKUP($A14,'Factor Exposures'!$B$3:$S$168,MATCH(Y$1,'Factor Exposures'!$B$2:$S$2,0),0)</f>
        <v>0</v>
      </c>
      <c r="Z14" s="2">
        <f>VLOOKUP($A14,'Factor Exposures'!$B$3:$S$168,MATCH(Z$1,'Factor Exposures'!$B$2:$S$2,0),0)</f>
        <v>0</v>
      </c>
      <c r="AA14" s="2">
        <f>VLOOKUP($A14,'Factor Exposures'!$B$3:$S$168,MATCH(AA$1,'Factor Exposures'!$B$2:$S$2,0),0)</f>
        <v>-3.5904638369331301</v>
      </c>
      <c r="AB14" s="2">
        <f>VLOOKUP($A14,'Factor Exposures'!$B$3:$S$168,MATCH(AB$1,'Factor Exposures'!$B$2:$S$2,0),0)</f>
        <v>0</v>
      </c>
      <c r="AC14" s="2">
        <f>VLOOKUP($A14,'Factor Exposures'!$B$3:$S$168,MATCH(AC$1,'Factor Exposures'!$B$2:$S$2,0),0)</f>
        <v>0</v>
      </c>
      <c r="AD14" s="2">
        <f>VLOOKUP($A14,'Factor Exposures'!$B$3:$S$168,MATCH(AD$1,'Factor Exposures'!$B$2:$S$2,0),0)</f>
        <v>0</v>
      </c>
      <c r="AE14" s="2">
        <f>VLOOKUP($A14,'Factor Exposures'!$B$3:$S$168,MATCH(AE$1,'Factor Exposures'!$B$2:$S$2,0),0)</f>
        <v>0</v>
      </c>
      <c r="AF14" s="1">
        <v>1</v>
      </c>
      <c r="AG14" s="5"/>
      <c r="AH14" s="5">
        <f>1-AI14</f>
        <v>0</v>
      </c>
      <c r="AI14" s="5">
        <v>1</v>
      </c>
    </row>
    <row r="15" spans="1:35" x14ac:dyDescent="0.25">
      <c r="A15" s="27" t="s">
        <v>7</v>
      </c>
      <c r="B15" s="27" t="s">
        <v>17</v>
      </c>
      <c r="C15" s="27" t="s">
        <v>2</v>
      </c>
      <c r="D15" s="27" t="s">
        <v>43</v>
      </c>
      <c r="E15" s="28">
        <v>10793.4198</v>
      </c>
      <c r="F15" s="28">
        <f t="shared" si="2"/>
        <v>10793.4198</v>
      </c>
      <c r="G15" s="28">
        <f>_xll.BDP($A15&amp;" US Equity","PX_LAST")</f>
        <v>12.5</v>
      </c>
      <c r="H15" s="29">
        <f t="shared" si="3"/>
        <v>134917.7475</v>
      </c>
      <c r="I15" s="29">
        <f t="shared" si="3"/>
        <v>134917.7475</v>
      </c>
      <c r="J15" s="29">
        <f t="shared" si="1"/>
        <v>0</v>
      </c>
      <c r="K15" s="30">
        <f>_xll.BDP(A15&amp;" US EQUITY", "FUND_EXPENSE_RATIO")</f>
        <v>0.44</v>
      </c>
      <c r="L15" s="30">
        <f>_xll.BDP(A15&amp;" US EQUITY", "EQY_DVD_YLD_12M")</f>
        <v>2.4074008464813232</v>
      </c>
      <c r="M15" s="28">
        <v>0</v>
      </c>
      <c r="O15" s="6">
        <v>0</v>
      </c>
      <c r="P15" s="2">
        <f>VLOOKUP($A15,'Factor Exposures'!$B$3:$S$168,MATCH(P$1,'Factor Exposures'!$B$2:$S$2,0),0)</f>
        <v>0</v>
      </c>
      <c r="Q15" s="2">
        <f>VLOOKUP($A15,'Factor Exposures'!$B$3:$S$168,MATCH(Q$1,'Factor Exposures'!$B$2:$S$2,0),0)</f>
        <v>0</v>
      </c>
      <c r="R15" s="2">
        <f>VLOOKUP($A15,'Factor Exposures'!$B$3:$S$168,MATCH(R$1,'Factor Exposures'!$B$2:$S$2,0),0)</f>
        <v>0</v>
      </c>
      <c r="S15" s="2">
        <f>VLOOKUP($A15,'Factor Exposures'!$B$3:$S$168,MATCH(S$1,'Factor Exposures'!$B$2:$S$2,0),0)</f>
        <v>0</v>
      </c>
      <c r="T15" s="2">
        <f>VLOOKUP($A15,'Factor Exposures'!$B$3:$S$168,MATCH(T$1,'Factor Exposures'!$B$2:$S$2,0),0)</f>
        <v>0</v>
      </c>
      <c r="U15" s="2">
        <f>VLOOKUP($A15,'Factor Exposures'!$B$3:$S$168,MATCH(U$1,'Factor Exposures'!$B$2:$S$2,0),0)</f>
        <v>0</v>
      </c>
      <c r="V15" s="2">
        <f>VLOOKUP($A15,'Factor Exposures'!$B$3:$S$168,MATCH(V$1,'Factor Exposures'!$B$2:$S$2,0),0)</f>
        <v>0</v>
      </c>
      <c r="W15" s="2">
        <f>VLOOKUP($A15,'Factor Exposures'!$B$3:$S$168,MATCH(W$1,'Factor Exposures'!$B$2:$S$2,0),0)</f>
        <v>0</v>
      </c>
      <c r="X15" s="2">
        <f>VLOOKUP($A15,'Factor Exposures'!$B$3:$S$168,MATCH(X$1,'Factor Exposures'!$B$2:$S$2,0),0)</f>
        <v>0</v>
      </c>
      <c r="Y15" s="2">
        <f>VLOOKUP($A15,'Factor Exposures'!$B$3:$S$168,MATCH(Y$1,'Factor Exposures'!$B$2:$S$2,0),0)</f>
        <v>0</v>
      </c>
      <c r="Z15" s="2">
        <f>VLOOKUP($A15,'Factor Exposures'!$B$3:$S$168,MATCH(Z$1,'Factor Exposures'!$B$2:$S$2,0),0)</f>
        <v>0</v>
      </c>
      <c r="AA15" s="2">
        <f>VLOOKUP($A15,'Factor Exposures'!$B$3:$S$168,MATCH(AA$1,'Factor Exposures'!$B$2:$S$2,0),0)</f>
        <v>0</v>
      </c>
      <c r="AB15" s="2">
        <f>VLOOKUP($A15,'Factor Exposures'!$B$3:$S$168,MATCH(AB$1,'Factor Exposures'!$B$2:$S$2,0),0)</f>
        <v>0</v>
      </c>
      <c r="AC15" s="2">
        <f>VLOOKUP($A15,'Factor Exposures'!$B$3:$S$168,MATCH(AC$1,'Factor Exposures'!$B$2:$S$2,0),0)</f>
        <v>-7.6154814527569697E-2</v>
      </c>
      <c r="AD15" s="2">
        <f>VLOOKUP($A15,'Factor Exposures'!$B$3:$S$168,MATCH(AD$1,'Factor Exposures'!$B$2:$S$2,0),0)</f>
        <v>0.27751311968357101</v>
      </c>
      <c r="AE15" s="2">
        <f>VLOOKUP($A15,'Factor Exposures'!$B$3:$S$168,MATCH(AE$1,'Factor Exposures'!$B$2:$S$2,0),0)</f>
        <v>0.84065190000446999</v>
      </c>
      <c r="AF15" s="1">
        <v>1</v>
      </c>
      <c r="AG15" s="5"/>
      <c r="AH15" s="5"/>
      <c r="AI15" s="5"/>
    </row>
    <row r="16" spans="1:35" x14ac:dyDescent="0.25">
      <c r="A16" s="27" t="s">
        <v>5</v>
      </c>
      <c r="B16" s="27" t="s">
        <v>15</v>
      </c>
      <c r="C16" s="27" t="s">
        <v>2</v>
      </c>
      <c r="D16" s="27" t="s">
        <v>43</v>
      </c>
      <c r="E16" s="28">
        <v>2457.1509999999998</v>
      </c>
      <c r="F16" s="28">
        <f t="shared" si="2"/>
        <v>2457.1509999999998</v>
      </c>
      <c r="G16" s="28">
        <f>_xll.BDP($A16&amp;" US Equity","PX_LAST")</f>
        <v>10.75</v>
      </c>
      <c r="H16" s="29">
        <f t="shared" si="3"/>
        <v>26414.373249999997</v>
      </c>
      <c r="I16" s="29">
        <f t="shared" si="3"/>
        <v>26414.373249999997</v>
      </c>
      <c r="J16" s="29">
        <f t="shared" si="1"/>
        <v>0</v>
      </c>
      <c r="K16" s="30">
        <f>_xll.BDP(A16&amp;" US EQUITY", "FUND_EXPENSE_RATIO")</f>
        <v>0.04</v>
      </c>
      <c r="L16" s="30">
        <f>_xll.BDP(A16&amp;" US EQUITY", "EQY_DVD_YLD_12M")</f>
        <v>2.5148472120595531</v>
      </c>
      <c r="M16" s="28">
        <v>0</v>
      </c>
      <c r="O16" s="6">
        <v>0</v>
      </c>
      <c r="P16" s="2">
        <f>VLOOKUP($A16,'Factor Exposures'!$B$3:$S$168,MATCH(P$1,'Factor Exposures'!$B$2:$S$2,0),0)</f>
        <v>0</v>
      </c>
      <c r="Q16" s="2">
        <f>VLOOKUP($A16,'Factor Exposures'!$B$3:$S$168,MATCH(Q$1,'Factor Exposures'!$B$2:$S$2,0),0)</f>
        <v>0</v>
      </c>
      <c r="R16" s="2">
        <f>VLOOKUP($A16,'Factor Exposures'!$B$3:$S$168,MATCH(R$1,'Factor Exposures'!$B$2:$S$2,0),0)</f>
        <v>0</v>
      </c>
      <c r="S16" s="2">
        <f>VLOOKUP($A16,'Factor Exposures'!$B$3:$S$168,MATCH(S$1,'Factor Exposures'!$B$2:$S$2,0),0)</f>
        <v>0</v>
      </c>
      <c r="T16" s="2">
        <f>VLOOKUP($A16,'Factor Exposures'!$B$3:$S$168,MATCH(T$1,'Factor Exposures'!$B$2:$S$2,0),0)</f>
        <v>0</v>
      </c>
      <c r="U16" s="2">
        <f>VLOOKUP($A16,'Factor Exposures'!$B$3:$S$168,MATCH(U$1,'Factor Exposures'!$B$2:$S$2,0),0)</f>
        <v>0</v>
      </c>
      <c r="V16" s="2">
        <f>VLOOKUP($A16,'Factor Exposures'!$B$3:$S$168,MATCH(V$1,'Factor Exposures'!$B$2:$S$2,0),0)</f>
        <v>0</v>
      </c>
      <c r="W16" s="2">
        <f>VLOOKUP($A16,'Factor Exposures'!$B$3:$S$168,MATCH(W$1,'Factor Exposures'!$B$2:$S$2,0),0)</f>
        <v>0</v>
      </c>
      <c r="X16" s="2">
        <f>VLOOKUP($A16,'Factor Exposures'!$B$3:$S$168,MATCH(X$1,'Factor Exposures'!$B$2:$S$2,0),0)</f>
        <v>0</v>
      </c>
      <c r="Y16" s="2">
        <f>VLOOKUP($A16,'Factor Exposures'!$B$3:$S$168,MATCH(Y$1,'Factor Exposures'!$B$2:$S$2,0),0)</f>
        <v>0</v>
      </c>
      <c r="Z16" s="2">
        <f>VLOOKUP($A16,'Factor Exposures'!$B$3:$S$168,MATCH(Z$1,'Factor Exposures'!$B$2:$S$2,0),0)</f>
        <v>0</v>
      </c>
      <c r="AA16" s="2">
        <f>VLOOKUP($A16,'Factor Exposures'!$B$3:$S$168,MATCH(AA$1,'Factor Exposures'!$B$2:$S$2,0),0)</f>
        <v>0</v>
      </c>
      <c r="AB16" s="2">
        <f>VLOOKUP($A16,'Factor Exposures'!$B$3:$S$168,MATCH(AB$1,'Factor Exposures'!$B$2:$S$2,0),0)</f>
        <v>0.293443437568082</v>
      </c>
      <c r="AC16" s="2">
        <f>VLOOKUP($A16,'Factor Exposures'!$B$3:$S$168,MATCH(AC$1,'Factor Exposures'!$B$2:$S$2,0),0)</f>
        <v>0</v>
      </c>
      <c r="AD16" s="2">
        <f>VLOOKUP($A16,'Factor Exposures'!$B$3:$S$168,MATCH(AD$1,'Factor Exposures'!$B$2:$S$2,0),0)</f>
        <v>0.14957037122810601</v>
      </c>
      <c r="AE16" s="2">
        <f>VLOOKUP($A16,'Factor Exposures'!$B$3:$S$168,MATCH(AE$1,'Factor Exposures'!$B$2:$S$2,0),0)</f>
        <v>0.30262016831007599</v>
      </c>
      <c r="AF16" s="1">
        <v>1</v>
      </c>
      <c r="AG16" s="5"/>
      <c r="AH16" s="5"/>
      <c r="AI16" s="5"/>
    </row>
    <row r="17" spans="1:35" x14ac:dyDescent="0.25">
      <c r="A17" s="24" t="s">
        <v>11</v>
      </c>
      <c r="B17" s="24" t="s">
        <v>31</v>
      </c>
      <c r="C17" s="24" t="s">
        <v>12</v>
      </c>
      <c r="D17" s="24" t="s">
        <v>43</v>
      </c>
      <c r="E17" s="25">
        <v>5.5880000000000001</v>
      </c>
      <c r="F17" s="25">
        <f t="shared" si="2"/>
        <v>5.5880000000000001</v>
      </c>
      <c r="G17" s="25">
        <f>_xll.BDP($A17&amp;" US Equity","PX_LAST")</f>
        <v>10.199999999999999</v>
      </c>
      <c r="H17" s="23">
        <f t="shared" si="3"/>
        <v>56.997599999999998</v>
      </c>
      <c r="I17" s="23">
        <f t="shared" si="3"/>
        <v>56.997599999999998</v>
      </c>
      <c r="J17" s="23">
        <f t="shared" si="1"/>
        <v>0</v>
      </c>
      <c r="K17" s="26">
        <f>_xll.BDP(A17&amp;" US EQUITY", "FUND_EXPENSE_RATIO")</f>
        <v>0.46</v>
      </c>
      <c r="L17" s="26">
        <f>_xll.BDP(A17&amp;" US EQUITY", "EQY_DVD_YLD_12M")</f>
        <v>3.0024954501320336</v>
      </c>
      <c r="M17" s="28">
        <v>0</v>
      </c>
      <c r="O17" s="6">
        <v>0</v>
      </c>
      <c r="P17" s="2">
        <f>VLOOKUP($A17,'Factor Exposures'!$B$3:$S$168,MATCH(P$1,'Factor Exposures'!$B$2:$S$2,0),0)</f>
        <v>0</v>
      </c>
      <c r="Q17" s="2">
        <f>VLOOKUP($A17,'Factor Exposures'!$B$3:$S$168,MATCH(Q$1,'Factor Exposures'!$B$2:$S$2,0),0)</f>
        <v>0</v>
      </c>
      <c r="R17" s="2">
        <f>VLOOKUP($A17,'Factor Exposures'!$B$3:$S$168,MATCH(R$1,'Factor Exposures'!$B$2:$S$2,0),0)</f>
        <v>0</v>
      </c>
      <c r="S17" s="2">
        <f>VLOOKUP($A17,'Factor Exposures'!$B$3:$S$168,MATCH(S$1,'Factor Exposures'!$B$2:$S$2,0),0)</f>
        <v>0</v>
      </c>
      <c r="T17" s="2">
        <f>VLOOKUP($A17,'Factor Exposures'!$B$3:$S$168,MATCH(T$1,'Factor Exposures'!$B$2:$S$2,0),0)</f>
        <v>0</v>
      </c>
      <c r="U17" s="2">
        <f>VLOOKUP($A17,'Factor Exposures'!$B$3:$S$168,MATCH(U$1,'Factor Exposures'!$B$2:$S$2,0),0)</f>
        <v>0</v>
      </c>
      <c r="V17" s="2">
        <f>VLOOKUP($A17,'Factor Exposures'!$B$3:$S$168,MATCH(V$1,'Factor Exposures'!$B$2:$S$2,0),0)</f>
        <v>0</v>
      </c>
      <c r="W17" s="2">
        <f>VLOOKUP($A17,'Factor Exposures'!$B$3:$S$168,MATCH(W$1,'Factor Exposures'!$B$2:$S$2,0),0)</f>
        <v>0</v>
      </c>
      <c r="X17" s="2">
        <f>VLOOKUP($A17,'Factor Exposures'!$B$3:$S$168,MATCH(X$1,'Factor Exposures'!$B$2:$S$2,0),0)</f>
        <v>0</v>
      </c>
      <c r="Y17" s="2">
        <f>VLOOKUP($A17,'Factor Exposures'!$B$3:$S$168,MATCH(Y$1,'Factor Exposures'!$B$2:$S$2,0),0)</f>
        <v>0</v>
      </c>
      <c r="Z17" s="2">
        <f>VLOOKUP($A17,'Factor Exposures'!$B$3:$S$168,MATCH(Z$1,'Factor Exposures'!$B$2:$S$2,0),0)</f>
        <v>0</v>
      </c>
      <c r="AA17" s="2">
        <f>VLOOKUP($A17,'Factor Exposures'!$B$3:$S$168,MATCH(AA$1,'Factor Exposures'!$B$2:$S$2,0),0)</f>
        <v>0</v>
      </c>
      <c r="AB17" s="2">
        <f>VLOOKUP($A17,'Factor Exposures'!$B$3:$S$168,MATCH(AB$1,'Factor Exposures'!$B$2:$S$2,0),0)</f>
        <v>0.382301832718632</v>
      </c>
      <c r="AC17" s="2">
        <f>VLOOKUP($A17,'Factor Exposures'!$B$3:$S$168,MATCH(AC$1,'Factor Exposures'!$B$2:$S$2,0),0)</f>
        <v>-0.26050960068079199</v>
      </c>
      <c r="AD17" s="2">
        <f>VLOOKUP($A17,'Factor Exposures'!$B$3:$S$168,MATCH(AD$1,'Factor Exposures'!$B$2:$S$2,0),0)</f>
        <v>0.36036505523721102</v>
      </c>
      <c r="AE17" s="2">
        <f>VLOOKUP($A17,'Factor Exposures'!$B$3:$S$168,MATCH(AE$1,'Factor Exposures'!$B$2:$S$2,0),0)</f>
        <v>0.52822443129293295</v>
      </c>
      <c r="AF17" s="1">
        <v>1</v>
      </c>
      <c r="AG17" s="5"/>
      <c r="AH17" s="5"/>
      <c r="AI17" s="5"/>
    </row>
    <row r="18" spans="1:35" x14ac:dyDescent="0.25">
      <c r="A18" s="1" t="s">
        <v>19</v>
      </c>
      <c r="B18" s="1" t="s">
        <v>19</v>
      </c>
      <c r="C18" s="1" t="s">
        <v>67</v>
      </c>
      <c r="D18" s="1" t="s">
        <v>19</v>
      </c>
      <c r="E18" s="2">
        <v>0</v>
      </c>
      <c r="F18" s="2">
        <f t="shared" si="2"/>
        <v>0</v>
      </c>
      <c r="G18" s="2">
        <v>1</v>
      </c>
      <c r="H18" s="3">
        <f t="shared" si="3"/>
        <v>0</v>
      </c>
      <c r="I18" s="3">
        <f t="shared" si="3"/>
        <v>0</v>
      </c>
      <c r="J18" s="3">
        <f t="shared" si="1"/>
        <v>0</v>
      </c>
      <c r="K18" s="7">
        <v>0</v>
      </c>
      <c r="L18" s="7">
        <v>0</v>
      </c>
      <c r="M18" s="28">
        <v>0</v>
      </c>
      <c r="O18" s="6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>
        <v>1</v>
      </c>
      <c r="AG18" s="5"/>
      <c r="AH18" s="5"/>
      <c r="AI18" s="5"/>
    </row>
    <row r="19" spans="1:35" x14ac:dyDescent="0.25">
      <c r="A19" s="31" t="s">
        <v>81</v>
      </c>
      <c r="B19" s="31" t="s">
        <v>82</v>
      </c>
      <c r="C19" s="31" t="s">
        <v>29</v>
      </c>
      <c r="D19" s="31" t="s">
        <v>42</v>
      </c>
      <c r="E19" s="32">
        <v>200</v>
      </c>
      <c r="F19" s="32">
        <f t="shared" si="2"/>
        <v>200</v>
      </c>
      <c r="G19" s="32">
        <f>_xll.BDP($A19&amp;" US Equity","PX_LAST")</f>
        <v>8.4499999999999993</v>
      </c>
      <c r="H19" s="33">
        <f t="shared" si="3"/>
        <v>1689.9999999999998</v>
      </c>
      <c r="I19" s="33">
        <f t="shared" si="3"/>
        <v>1689.9999999999998</v>
      </c>
      <c r="J19" s="33">
        <f>I19-H19</f>
        <v>0</v>
      </c>
      <c r="K19" s="34">
        <v>0</v>
      </c>
      <c r="L19" s="34">
        <v>0</v>
      </c>
      <c r="M19" s="28">
        <v>0.56000000000000005</v>
      </c>
      <c r="O19" s="6">
        <f>VLOOKUP($A19,'Factor Exposures'!$B$3:$O$168,MATCH(O$1,'Factor Exposures'!$B$2:$O$2,0),0)</f>
        <v>1.0109552266145801E-2</v>
      </c>
      <c r="P19" s="2">
        <f>VLOOKUP($A19,'Factor Exposures'!$B$3:$S$168,MATCH(P$1,'Factor Exposures'!$B$2:$S$2,0),0)</f>
        <v>0</v>
      </c>
      <c r="Q19" s="2">
        <f>VLOOKUP($A19,'Factor Exposures'!$B$3:$S$168,MATCH(Q$1,'Factor Exposures'!$B$2:$S$2,0),0)</f>
        <v>0</v>
      </c>
      <c r="R19" s="2">
        <f>VLOOKUP($A19,'Factor Exposures'!$B$3:$S$168,MATCH(R$1,'Factor Exposures'!$B$2:$S$2,0),0)</f>
        <v>1.7514416241751101</v>
      </c>
      <c r="S19" s="2">
        <f>VLOOKUP($A19,'Factor Exposures'!$B$3:$S$168,MATCH(S$1,'Factor Exposures'!$B$2:$S$2,0),0)</f>
        <v>0</v>
      </c>
      <c r="T19" s="2">
        <f>VLOOKUP($A19,'Factor Exposures'!$B$3:$S$168,MATCH(T$1,'Factor Exposures'!$B$2:$S$2,0),0)</f>
        <v>0</v>
      </c>
      <c r="U19" s="2">
        <f>VLOOKUP($A19,'Factor Exposures'!$B$3:$S$168,MATCH(U$1,'Factor Exposures'!$B$2:$S$2,0),0)</f>
        <v>0</v>
      </c>
      <c r="V19" s="2">
        <f>VLOOKUP($A19,'Factor Exposures'!$B$3:$S$168,MATCH(V$1,'Factor Exposures'!$B$2:$S$2,0),0)</f>
        <v>0</v>
      </c>
      <c r="W19" s="2">
        <f>VLOOKUP($A19,'Factor Exposures'!$B$3:$S$168,MATCH(W$1,'Factor Exposures'!$B$2:$S$2,0),0)</f>
        <v>0</v>
      </c>
      <c r="X19" s="2">
        <f>VLOOKUP($A19,'Factor Exposures'!$B$3:$S$168,MATCH(X$1,'Factor Exposures'!$B$2:$S$2,0),0)</f>
        <v>0</v>
      </c>
      <c r="Y19" s="2">
        <f>VLOOKUP($A19,'Factor Exposures'!$B$3:$S$168,MATCH(Y$1,'Factor Exposures'!$B$2:$S$2,0),0)</f>
        <v>0</v>
      </c>
      <c r="Z19" s="2">
        <f>VLOOKUP($A19,'Factor Exposures'!$B$3:$S$168,MATCH(Z$1,'Factor Exposures'!$B$2:$S$2,0),0)</f>
        <v>0</v>
      </c>
      <c r="AA19" s="2">
        <f>VLOOKUP($A19,'Factor Exposures'!$B$3:$S$168,MATCH(AA$1,'Factor Exposures'!$B$2:$S$2,0),0)</f>
        <v>0</v>
      </c>
      <c r="AB19" s="2">
        <f>VLOOKUP($A19,'Factor Exposures'!$B$3:$S$168,MATCH(AB$1,'Factor Exposures'!$B$2:$S$2,0),0)</f>
        <v>0</v>
      </c>
      <c r="AC19" s="2">
        <f>VLOOKUP($A19,'Factor Exposures'!$B$3:$S$168,MATCH(AC$1,'Factor Exposures'!$B$2:$S$2,0),0)</f>
        <v>0</v>
      </c>
      <c r="AD19" s="2">
        <f>VLOOKUP($A19,'Factor Exposures'!$B$3:$S$168,MATCH(AD$1,'Factor Exposures'!$B$2:$S$2,0),0)</f>
        <v>0</v>
      </c>
      <c r="AE19" s="2">
        <f>VLOOKUP($A19,'Factor Exposures'!$B$3:$S$168,MATCH(AE$1,'Factor Exposures'!$B$2:$S$2,0),0)</f>
        <v>0</v>
      </c>
      <c r="AF19" s="1">
        <v>1</v>
      </c>
      <c r="AG19" s="5">
        <v>1</v>
      </c>
      <c r="AH19" s="5"/>
      <c r="AI19" s="5"/>
    </row>
    <row r="20" spans="1:35" x14ac:dyDescent="0.25">
      <c r="A20" s="31" t="s">
        <v>57</v>
      </c>
      <c r="B20" s="31" t="s">
        <v>65</v>
      </c>
      <c r="C20" s="31" t="s">
        <v>29</v>
      </c>
      <c r="D20" s="31" t="s">
        <v>42</v>
      </c>
      <c r="E20" s="32">
        <v>7142.857</v>
      </c>
      <c r="F20" s="32">
        <f t="shared" si="2"/>
        <v>7142.857</v>
      </c>
      <c r="G20" s="32">
        <f>_xll.BDP($A20&amp;" US Equity","PX_LAST")</f>
        <v>14.66</v>
      </c>
      <c r="H20" s="33">
        <f t="shared" si="3"/>
        <v>104714.28362</v>
      </c>
      <c r="I20" s="33">
        <f t="shared" si="3"/>
        <v>104714.28362</v>
      </c>
      <c r="J20" s="33">
        <f t="shared" ref="J20" si="10">I20-H20</f>
        <v>0</v>
      </c>
      <c r="K20" s="34">
        <f>_xll.BDP(A20&amp;" US EQUITY", "FUND_EXPENSE_RATIO")</f>
        <v>0.63</v>
      </c>
      <c r="L20" s="34">
        <f>_xll.BDP(A20&amp;" US EQUITY", "EQY_DVD_YLD_12M")</f>
        <v>3.7758936660839462</v>
      </c>
      <c r="M20" s="28">
        <v>1.41</v>
      </c>
      <c r="O20" s="6">
        <f>VLOOKUP($A20,'Factor Exposures'!$B$3:$O$168,MATCH(O$1,'Factor Exposures'!$B$2:$O$2,0),0)</f>
        <v>5.3792207283956204E-3</v>
      </c>
      <c r="P20" s="2">
        <f>VLOOKUP($A20,'Factor Exposures'!$B$3:$S$168,MATCH(P$1,'Factor Exposures'!$B$2:$S$2,0),0)</f>
        <v>0.98204505707368395</v>
      </c>
      <c r="Q20" s="2">
        <f>VLOOKUP($A20,'Factor Exposures'!$B$3:$S$168,MATCH(Q$1,'Factor Exposures'!$B$2:$S$2,0),0)</f>
        <v>0</v>
      </c>
      <c r="R20" s="2">
        <f>VLOOKUP($A20,'Factor Exposures'!$B$3:$S$168,MATCH(R$1,'Factor Exposures'!$B$2:$S$2,0),0)</f>
        <v>0</v>
      </c>
      <c r="S20" s="2">
        <f>VLOOKUP($A20,'Factor Exposures'!$B$3:$S$168,MATCH(S$1,'Factor Exposures'!$B$2:$S$2,0),0)</f>
        <v>0.24734887259844901</v>
      </c>
      <c r="T20" s="2">
        <f>VLOOKUP($A20,'Factor Exposures'!$B$3:$S$168,MATCH(T$1,'Factor Exposures'!$B$2:$S$2,0),0)</f>
        <v>0</v>
      </c>
      <c r="U20" s="2">
        <f>VLOOKUP($A20,'Factor Exposures'!$B$3:$S$168,MATCH(U$1,'Factor Exposures'!$B$2:$S$2,0),0)</f>
        <v>0</v>
      </c>
      <c r="V20" s="2">
        <f>VLOOKUP($A20,'Factor Exposures'!$B$3:$S$168,MATCH(V$1,'Factor Exposures'!$B$2:$S$2,0),0)</f>
        <v>0</v>
      </c>
      <c r="W20" s="2">
        <f>VLOOKUP($A20,'Factor Exposures'!$B$3:$S$168,MATCH(W$1,'Factor Exposures'!$B$2:$S$2,0),0)</f>
        <v>0</v>
      </c>
      <c r="X20" s="2">
        <f>VLOOKUP($A20,'Factor Exposures'!$B$3:$S$168,MATCH(X$1,'Factor Exposures'!$B$2:$S$2,0),0)</f>
        <v>0</v>
      </c>
      <c r="Y20" s="2">
        <f>VLOOKUP($A20,'Factor Exposures'!$B$3:$S$168,MATCH(Y$1,'Factor Exposures'!$B$2:$S$2,0),0)</f>
        <v>0</v>
      </c>
      <c r="Z20" s="2">
        <f>VLOOKUP($A20,'Factor Exposures'!$B$3:$S$168,MATCH(Z$1,'Factor Exposures'!$B$2:$S$2,0),0)</f>
        <v>0</v>
      </c>
      <c r="AA20" s="2">
        <f>VLOOKUP($A20,'Factor Exposures'!$B$3:$S$168,MATCH(AA$1,'Factor Exposures'!$B$2:$S$2,0),0)</f>
        <v>0</v>
      </c>
      <c r="AB20" s="2">
        <f>VLOOKUP($A20,'Factor Exposures'!$B$3:$S$168,MATCH(AB$1,'Factor Exposures'!$B$2:$S$2,0),0)</f>
        <v>0</v>
      </c>
      <c r="AC20" s="2">
        <f>VLOOKUP($A20,'Factor Exposures'!$B$3:$S$168,MATCH(AC$1,'Factor Exposures'!$B$2:$S$2,0),0)</f>
        <v>0</v>
      </c>
      <c r="AD20" s="2">
        <f>VLOOKUP($A20,'Factor Exposures'!$B$3:$S$168,MATCH(AD$1,'Factor Exposures'!$B$2:$S$2,0),0)</f>
        <v>0</v>
      </c>
      <c r="AE20" s="2">
        <f>VLOOKUP($A20,'Factor Exposures'!$B$3:$S$168,MATCH(AE$1,'Factor Exposures'!$B$2:$S$2,0),0)</f>
        <v>0</v>
      </c>
      <c r="AF20" s="1">
        <v>1</v>
      </c>
      <c r="AG20" s="5">
        <v>1</v>
      </c>
      <c r="AH20" s="5"/>
      <c r="AI20" s="5"/>
    </row>
    <row r="21" spans="1:35" x14ac:dyDescent="0.25">
      <c r="A21" s="15"/>
      <c r="B21" s="15"/>
      <c r="C21" s="15"/>
      <c r="D21" s="15"/>
      <c r="E21" s="15"/>
      <c r="F21" s="15"/>
      <c r="G21" s="15"/>
      <c r="H21" s="16">
        <f>SUM(H2:H20)</f>
        <v>649415.93844499998</v>
      </c>
      <c r="I21" s="16">
        <f>SUM(I2:I20)</f>
        <v>649415.93844499998</v>
      </c>
      <c r="J21" s="16">
        <f>SUM(J2:J20)</f>
        <v>0</v>
      </c>
      <c r="K21" s="17">
        <f>SUMPRODUCT(K$2:K$20,$I$2:$I$20)/SUM($I$2:$I$20)</f>
        <v>0.23129200518069987</v>
      </c>
      <c r="L21" s="17">
        <f>SUMPRODUCT(L$2:L$20,$I$2:$I$20)/SUM($I$2:$I$20)</f>
        <v>2.4770090227929988</v>
      </c>
      <c r="M21" s="17">
        <f>SUMPRODUCT(M$2:M$20,$I$2:$I$20)/SUM($I$2:$I$20)</f>
        <v>0.46821632282736447</v>
      </c>
      <c r="N21" s="15"/>
      <c r="O21" s="18">
        <f>SUMPRODUCT(O$2:O$20,$H$2:$H$20)/SUM($H$2:$H$20)</f>
        <v>8.9449301670225018E-6</v>
      </c>
      <c r="P21" s="19">
        <f t="shared" ref="P21:AI21" si="11">SUMPRODUCT(P$2:P$20,$I$2:$I$20)/SUM($I$2:$I$20)</f>
        <v>0.54982625677680197</v>
      </c>
      <c r="Q21" s="19">
        <f t="shared" si="11"/>
        <v>-4.3520369550652978E-2</v>
      </c>
      <c r="R21" s="19">
        <f t="shared" si="11"/>
        <v>0.15300128384113951</v>
      </c>
      <c r="S21" s="19">
        <f t="shared" si="11"/>
        <v>-0.10096404390714252</v>
      </c>
      <c r="T21" s="19">
        <f t="shared" si="11"/>
        <v>-0.10570553724908882</v>
      </c>
      <c r="U21" s="19">
        <f t="shared" si="11"/>
        <v>2.4386889357215624E-3</v>
      </c>
      <c r="V21" s="19">
        <f t="shared" si="11"/>
        <v>0.20952627325710591</v>
      </c>
      <c r="W21" s="19">
        <f t="shared" si="11"/>
        <v>0</v>
      </c>
      <c r="X21" s="19">
        <f t="shared" si="11"/>
        <v>0</v>
      </c>
      <c r="Y21" s="19">
        <f t="shared" si="11"/>
        <v>0</v>
      </c>
      <c r="Z21" s="19">
        <f t="shared" si="11"/>
        <v>0</v>
      </c>
      <c r="AA21" s="19">
        <f t="shared" si="11"/>
        <v>-1.0688195775082565E-4</v>
      </c>
      <c r="AB21" s="19">
        <f t="shared" si="11"/>
        <v>1.1969085318784878E-2</v>
      </c>
      <c r="AC21" s="19">
        <f t="shared" si="11"/>
        <v>-1.5844213007758165E-2</v>
      </c>
      <c r="AD21" s="19">
        <f t="shared" si="11"/>
        <v>6.3769288854534728E-2</v>
      </c>
      <c r="AE21" s="19">
        <f t="shared" si="11"/>
        <v>0.18700263297287201</v>
      </c>
      <c r="AF21" s="15">
        <f t="shared" si="11"/>
        <v>1</v>
      </c>
      <c r="AG21" s="38">
        <f t="shared" si="11"/>
        <v>0.54793773363807963</v>
      </c>
      <c r="AH21" s="38">
        <f t="shared" si="11"/>
        <v>9.0716991045230455E-2</v>
      </c>
      <c r="AI21" s="38">
        <f t="shared" si="11"/>
        <v>0.11283101997451317</v>
      </c>
    </row>
    <row r="22" spans="1:35" x14ac:dyDescent="0.25">
      <c r="J22" s="3"/>
      <c r="P22" s="5">
        <f>P21/SUM(P21,V21)</f>
        <v>0.72407246309201101</v>
      </c>
    </row>
    <row r="23" spans="1:35" x14ac:dyDescent="0.25">
      <c r="D23" s="1" t="s">
        <v>42</v>
      </c>
      <c r="H23" s="3">
        <f t="shared" ref="H23:J25" si="12">SUMIF($D$2:$D$20,"="&amp;$D23,H$2:H$20)</f>
        <v>488026.82009500003</v>
      </c>
      <c r="I23" s="3">
        <f t="shared" si="12"/>
        <v>488026.82009500003</v>
      </c>
      <c r="J23" s="3">
        <f t="shared" si="12"/>
        <v>0</v>
      </c>
      <c r="K23" s="3"/>
      <c r="L23" s="3"/>
      <c r="M23" s="3"/>
    </row>
    <row r="24" spans="1:35" x14ac:dyDescent="0.25">
      <c r="D24" s="1" t="s">
        <v>43</v>
      </c>
      <c r="H24" s="3">
        <f t="shared" si="12"/>
        <v>161389.11835</v>
      </c>
      <c r="I24" s="3">
        <f t="shared" si="12"/>
        <v>161389.11835</v>
      </c>
      <c r="J24" s="3">
        <f t="shared" si="12"/>
        <v>0</v>
      </c>
      <c r="K24" s="3"/>
      <c r="L24" s="3"/>
      <c r="M24" s="3"/>
    </row>
    <row r="25" spans="1:35" x14ac:dyDescent="0.25">
      <c r="D25" s="1" t="s">
        <v>19</v>
      </c>
      <c r="H25" s="3">
        <f t="shared" si="12"/>
        <v>0</v>
      </c>
      <c r="I25" s="3">
        <f t="shared" si="12"/>
        <v>0</v>
      </c>
      <c r="J25" s="3">
        <f t="shared" si="12"/>
        <v>0</v>
      </c>
      <c r="K25" s="3"/>
      <c r="L25" s="3"/>
      <c r="M25" s="3"/>
    </row>
    <row r="27" spans="1:35" x14ac:dyDescent="0.25">
      <c r="D27" s="1" t="s">
        <v>44</v>
      </c>
      <c r="H27" s="4">
        <f>H23/SUM(H$23:H$25)</f>
        <v>0.75148574465782347</v>
      </c>
      <c r="I27" s="4">
        <f t="shared" ref="I27" si="13">I23/SUM(I$23:I$25)</f>
        <v>0.75148574465782347</v>
      </c>
      <c r="J27" s="4">
        <f>I27-H27</f>
        <v>0</v>
      </c>
      <c r="K27" s="4"/>
      <c r="L27" s="4"/>
      <c r="M27" s="4"/>
    </row>
    <row r="28" spans="1:35" x14ac:dyDescent="0.25">
      <c r="D28" s="1" t="s">
        <v>45</v>
      </c>
      <c r="H28" s="4">
        <f t="shared" ref="H28:I28" si="14">H24/SUM(H$23:H$25)</f>
        <v>0.24851425534217667</v>
      </c>
      <c r="I28" s="4">
        <f t="shared" si="14"/>
        <v>0.24851425534217667</v>
      </c>
      <c r="J28" s="4">
        <f t="shared" ref="J28:J29" si="15">I28-H28</f>
        <v>0</v>
      </c>
      <c r="K28" s="4"/>
      <c r="L28" s="4"/>
      <c r="M28" s="4"/>
    </row>
    <row r="29" spans="1:35" x14ac:dyDescent="0.25">
      <c r="D29" s="1" t="s">
        <v>46</v>
      </c>
      <c r="H29" s="4">
        <f t="shared" ref="H29:I29" si="16">H25/SUM(H$23:H$25)</f>
        <v>0</v>
      </c>
      <c r="I29" s="4">
        <f t="shared" si="16"/>
        <v>0</v>
      </c>
      <c r="J29" s="4">
        <f t="shared" si="15"/>
        <v>0</v>
      </c>
      <c r="K29" s="4"/>
      <c r="L29" s="4"/>
      <c r="M29" s="4"/>
    </row>
    <row r="30" spans="1:35" x14ac:dyDescent="0.25">
      <c r="H30" s="1" t="s">
        <v>79</v>
      </c>
      <c r="I30" s="1" t="s">
        <v>80</v>
      </c>
    </row>
    <row r="31" spans="1:35" x14ac:dyDescent="0.25">
      <c r="D31" s="1" t="s">
        <v>76</v>
      </c>
      <c r="H31" s="36">
        <v>0.5</v>
      </c>
      <c r="I31" s="5">
        <f t="array" ref="I31:I33">TRANSPOSE(AG21:AI21)</f>
        <v>0.54793773363807963</v>
      </c>
      <c r="J31" s="36">
        <f>I31-H31</f>
        <v>4.7937733638079627E-2</v>
      </c>
      <c r="K31" s="35">
        <v>5.9799999999999999E-2</v>
      </c>
    </row>
    <row r="32" spans="1:35" x14ac:dyDescent="0.25">
      <c r="D32" s="1" t="s">
        <v>77</v>
      </c>
      <c r="H32" s="36">
        <v>0</v>
      </c>
      <c r="I32" s="5">
        <v>9.0716991045230455E-2</v>
      </c>
      <c r="J32" s="36">
        <f>I32-H32</f>
        <v>9.0716991045230455E-2</v>
      </c>
      <c r="K32" s="35">
        <v>5.6099999999999997E-2</v>
      </c>
    </row>
    <row r="33" spans="4:11" x14ac:dyDescent="0.25">
      <c r="D33" s="1" t="s">
        <v>78</v>
      </c>
      <c r="H33" s="36">
        <v>0</v>
      </c>
      <c r="I33" s="5">
        <v>0.11283101997451317</v>
      </c>
      <c r="J33" s="36">
        <f>I33-H33</f>
        <v>0.11283101997451317</v>
      </c>
      <c r="K33" s="35">
        <v>9.5899999999999999E-2</v>
      </c>
    </row>
    <row r="34" spans="4:11" x14ac:dyDescent="0.25">
      <c r="D34" s="1" t="s">
        <v>45</v>
      </c>
      <c r="H34" s="36">
        <v>0.5</v>
      </c>
      <c r="I34" s="36">
        <f>I28</f>
        <v>0.24851425534217667</v>
      </c>
      <c r="J34" s="36">
        <f>I34-H34</f>
        <v>-0.25148574465782336</v>
      </c>
      <c r="K34" s="35">
        <v>-4.3E-3</v>
      </c>
    </row>
    <row r="35" spans="4:11" x14ac:dyDescent="0.25">
      <c r="D35" s="1" t="s">
        <v>46</v>
      </c>
      <c r="H35" s="36">
        <v>0</v>
      </c>
      <c r="I35" s="36">
        <f>I29</f>
        <v>0</v>
      </c>
      <c r="J35" s="36">
        <f>I35-H35</f>
        <v>0</v>
      </c>
      <c r="K35" s="37">
        <f>SUMPRODUCT(K31:K34,J31:J34)</f>
        <v>1.9857783186779041E-2</v>
      </c>
    </row>
  </sheetData>
  <sortState ref="A2:AF17">
    <sortCondition ref="D2:D17" customList="Equity,Fixed Income,Cash"/>
    <sortCondition ref="C2:C17"/>
    <sortCondition descending="1" ref="H2:H17"/>
  </sortState>
  <conditionalFormatting sqref="P2:AF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7"/>
  <sheetViews>
    <sheetView workbookViewId="0">
      <selection activeCell="C23" sqref="C23"/>
    </sheetView>
  </sheetViews>
  <sheetFormatPr defaultRowHeight="12" x14ac:dyDescent="0.25"/>
  <cols>
    <col min="1" max="1" width="8.88671875" style="10"/>
    <col min="2" max="3" width="9" style="10" bestFit="1" customWidth="1"/>
    <col min="4" max="4" width="10.21875" style="10" bestFit="1" customWidth="1"/>
    <col min="5" max="15" width="9" style="10" bestFit="1" customWidth="1"/>
    <col min="16" max="16384" width="8.88671875" style="10"/>
  </cols>
  <sheetData>
    <row r="2" spans="2:19" x14ac:dyDescent="0.25">
      <c r="B2" s="8" t="s">
        <v>55</v>
      </c>
      <c r="C2" s="9" t="s">
        <v>54</v>
      </c>
      <c r="D2" s="9" t="s">
        <v>47</v>
      </c>
      <c r="E2" s="9" t="s">
        <v>48</v>
      </c>
      <c r="F2" s="9" t="s">
        <v>49</v>
      </c>
      <c r="G2" s="9" t="s">
        <v>50</v>
      </c>
      <c r="H2" s="9" t="s">
        <v>51</v>
      </c>
      <c r="I2" s="9" t="s">
        <v>52</v>
      </c>
      <c r="J2" s="9" t="str">
        <f>"Ex-US "&amp;D2</f>
        <v>Ex-US Mkt-RF</v>
      </c>
      <c r="K2" s="9" t="str">
        <f t="shared" ref="K2:O2" si="0">"Ex-US "&amp;E2</f>
        <v>Ex-US SMB</v>
      </c>
      <c r="L2" s="9" t="str">
        <f t="shared" si="0"/>
        <v>Ex-US HML</v>
      </c>
      <c r="M2" s="9" t="str">
        <f t="shared" si="0"/>
        <v>Ex-US RMW</v>
      </c>
      <c r="N2" s="9" t="str">
        <f t="shared" si="0"/>
        <v>Ex-US CMA</v>
      </c>
      <c r="O2" s="9" t="str">
        <f t="shared" si="0"/>
        <v>Ex-US Mom</v>
      </c>
      <c r="P2" s="9" t="s">
        <v>69</v>
      </c>
      <c r="Q2" s="9" t="s">
        <v>70</v>
      </c>
      <c r="R2" s="9" t="s">
        <v>71</v>
      </c>
      <c r="S2" s="9" t="s">
        <v>72</v>
      </c>
    </row>
    <row r="3" spans="2:19" x14ac:dyDescent="0.25">
      <c r="B3" s="10" t="s">
        <v>20</v>
      </c>
      <c r="C3" s="20">
        <v>-4.2685995467099704E-3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1.0306030081411499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</row>
    <row r="4" spans="2:19" x14ac:dyDescent="0.25">
      <c r="B4" s="10" t="s">
        <v>21</v>
      </c>
      <c r="C4" s="20">
        <v>-1.9686846760282701E-4</v>
      </c>
      <c r="D4" s="20">
        <v>1.00206436910187</v>
      </c>
      <c r="E4" s="20">
        <v>-0.14370576118143699</v>
      </c>
      <c r="F4" s="20">
        <v>0</v>
      </c>
      <c r="G4" s="20">
        <v>5.2311679961499102E-2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</row>
    <row r="5" spans="2:19" x14ac:dyDescent="0.25">
      <c r="B5" s="10" t="s">
        <v>27</v>
      </c>
      <c r="C5" s="20">
        <v>-1.09258609570211E-2</v>
      </c>
      <c r="D5" s="20">
        <v>1.5999857796149599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</row>
    <row r="6" spans="2:19" x14ac:dyDescent="0.25">
      <c r="B6" s="10" t="s">
        <v>26</v>
      </c>
      <c r="C6" s="20">
        <v>-1.05513874155462E-2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0.67249403981615996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</row>
    <row r="7" spans="2:19" x14ac:dyDescent="0.25">
      <c r="B7" s="10" t="s">
        <v>25</v>
      </c>
      <c r="C7" s="20">
        <v>-7.03154127858287E-4</v>
      </c>
      <c r="D7" s="20">
        <v>0.93523851818806603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</row>
    <row r="8" spans="2:19" x14ac:dyDescent="0.25">
      <c r="B8" s="10" t="s">
        <v>23</v>
      </c>
      <c r="C8" s="20">
        <v>-6.3432568648019998E-4</v>
      </c>
      <c r="D8" s="20">
        <v>1.0472824883392799</v>
      </c>
      <c r="E8" s="20">
        <v>-0.108902434620071</v>
      </c>
      <c r="F8" s="20">
        <v>-0.234801870686867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</row>
    <row r="9" spans="2:19" x14ac:dyDescent="0.25">
      <c r="B9" s="10" t="s">
        <v>22</v>
      </c>
      <c r="C9" s="20">
        <v>-1.8197388107366499E-3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1.0486130804940701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</row>
    <row r="10" spans="2:19" x14ac:dyDescent="0.25">
      <c r="B10" s="10" t="s">
        <v>24</v>
      </c>
      <c r="C10" s="20">
        <v>-3.6150123112845299E-4</v>
      </c>
      <c r="D10" s="20">
        <v>0.98111896697477496</v>
      </c>
      <c r="E10" s="20">
        <v>-0.176203291463506</v>
      </c>
      <c r="F10" s="20">
        <v>0.15328751363424201</v>
      </c>
      <c r="G10" s="20">
        <v>0</v>
      </c>
      <c r="H10" s="20">
        <v>0.18797797041643899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</row>
    <row r="11" spans="2:19" x14ac:dyDescent="0.25">
      <c r="B11" s="10" t="s">
        <v>3</v>
      </c>
      <c r="C11" s="20">
        <v>-9.9410329918617202E-4</v>
      </c>
      <c r="D11" s="20">
        <v>1.04610104151256</v>
      </c>
      <c r="E11" s="20">
        <v>0.53907322543502101</v>
      </c>
      <c r="F11" s="20">
        <v>0</v>
      </c>
      <c r="G11" s="20">
        <v>0</v>
      </c>
      <c r="H11" s="20">
        <v>-0.13189279013472099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</row>
    <row r="12" spans="2:19" x14ac:dyDescent="0.25">
      <c r="B12" s="10" t="s">
        <v>4</v>
      </c>
      <c r="C12" s="20">
        <v>-1.2491580423437299E-4</v>
      </c>
      <c r="D12" s="20">
        <v>1.00181246530336</v>
      </c>
      <c r="E12" s="20">
        <v>-0.14154629777235</v>
      </c>
      <c r="F12" s="20">
        <v>0</v>
      </c>
      <c r="G12" s="20">
        <v>4.70175113116819E-2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</row>
    <row r="13" spans="2:19" x14ac:dyDescent="0.25">
      <c r="B13" s="10" t="s">
        <v>6</v>
      </c>
      <c r="C13" s="20">
        <v>-1.6647307441802299E-3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1.00872324716649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</row>
    <row r="14" spans="2:19" x14ac:dyDescent="0.25">
      <c r="B14" s="10" t="s">
        <v>9</v>
      </c>
      <c r="C14" s="20">
        <v>-2.8763916942712003E-4</v>
      </c>
      <c r="D14" s="20">
        <v>1.0015303105494899</v>
      </c>
      <c r="E14" s="20">
        <v>-0.14144561766132999</v>
      </c>
      <c r="F14" s="20">
        <v>0</v>
      </c>
      <c r="G14" s="20">
        <v>4.6434362794286199E-2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</row>
    <row r="15" spans="2:19" x14ac:dyDescent="0.25">
      <c r="B15" s="10" t="s">
        <v>10</v>
      </c>
      <c r="C15" s="20">
        <v>-1.7211201378243301E-3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1.01370517131562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</row>
    <row r="16" spans="2:19" x14ac:dyDescent="0.25">
      <c r="B16" s="10" t="s">
        <v>18</v>
      </c>
      <c r="C16" s="20">
        <v>-2.0965286404632999E-3</v>
      </c>
      <c r="D16" s="20">
        <v>1.11602264103395</v>
      </c>
      <c r="E16" s="20">
        <v>0</v>
      </c>
      <c r="F16" s="20">
        <v>2.40451751568005</v>
      </c>
      <c r="G16" s="20">
        <v>-2.3790412270180301</v>
      </c>
      <c r="H16" s="20">
        <v>-1.7787324670236599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</row>
    <row r="17" spans="2:19" x14ac:dyDescent="0.25">
      <c r="B17" s="10" t="s">
        <v>28</v>
      </c>
      <c r="C17" s="20">
        <v>-5.88061185965051E-2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2.1616491972040901</v>
      </c>
      <c r="K17" s="20">
        <v>0</v>
      </c>
      <c r="L17" s="20">
        <v>0</v>
      </c>
      <c r="M17" s="20">
        <v>0</v>
      </c>
      <c r="N17" s="20">
        <v>0</v>
      </c>
      <c r="O17" s="20">
        <v>-3.5904638369331301</v>
      </c>
      <c r="P17" s="20">
        <v>0</v>
      </c>
      <c r="Q17" s="20">
        <v>0</v>
      </c>
      <c r="R17" s="20">
        <v>0</v>
      </c>
      <c r="S17" s="20">
        <v>0</v>
      </c>
    </row>
    <row r="18" spans="2:19" x14ac:dyDescent="0.25">
      <c r="B18" s="10" t="s">
        <v>57</v>
      </c>
      <c r="C18" s="20">
        <v>5.3792207283956204E-3</v>
      </c>
      <c r="D18" s="20">
        <v>0.98204505707368395</v>
      </c>
      <c r="E18" s="20">
        <v>0</v>
      </c>
      <c r="F18" s="20">
        <v>0</v>
      </c>
      <c r="G18" s="20">
        <v>0.24734887259844901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</row>
    <row r="19" spans="2:19" x14ac:dyDescent="0.25">
      <c r="B19" s="10" t="s">
        <v>83</v>
      </c>
      <c r="C19" s="20">
        <v>-1.66889128966093E-3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1.00921323409996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</row>
    <row r="20" spans="2:19" x14ac:dyDescent="0.25">
      <c r="B20" s="10" t="s">
        <v>58</v>
      </c>
      <c r="C20" s="20">
        <v>-8.5764659717763302E-5</v>
      </c>
      <c r="D20" s="20">
        <v>0.99988831226327901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</row>
    <row r="21" spans="2:19" x14ac:dyDescent="0.25">
      <c r="B21" s="10" t="s">
        <v>63</v>
      </c>
      <c r="C21" s="20">
        <v>-2.35826241901777E-4</v>
      </c>
      <c r="D21" s="20">
        <v>1.00191448366303</v>
      </c>
      <c r="E21" s="20">
        <v>-0.14100108840514899</v>
      </c>
      <c r="F21" s="20">
        <v>0</v>
      </c>
      <c r="G21" s="20">
        <v>4.6796051084578801E-2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</row>
    <row r="22" spans="2:19" x14ac:dyDescent="0.25">
      <c r="B22" s="10" t="s">
        <v>7</v>
      </c>
      <c r="C22" s="20">
        <v>1.3466454440801199E-3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-7.6154814527569697E-2</v>
      </c>
      <c r="R22" s="20">
        <v>0.27751311968357101</v>
      </c>
      <c r="S22" s="20">
        <v>0.84065190000446999</v>
      </c>
    </row>
    <row r="23" spans="2:19" x14ac:dyDescent="0.25">
      <c r="B23" s="10" t="s">
        <v>5</v>
      </c>
      <c r="C23" s="20">
        <v>2.4843009774404398E-4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0.293443437568082</v>
      </c>
      <c r="Q23" s="20">
        <v>0</v>
      </c>
      <c r="R23" s="20">
        <v>0.14957037122810601</v>
      </c>
      <c r="S23" s="20">
        <v>0.30262016831007599</v>
      </c>
    </row>
    <row r="24" spans="2:19" x14ac:dyDescent="0.25">
      <c r="B24" s="10" t="s">
        <v>11</v>
      </c>
      <c r="C24" s="20">
        <v>1.16324819173032E-4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0.382301832718632</v>
      </c>
      <c r="Q24" s="20">
        <v>-0.26050960068079199</v>
      </c>
      <c r="R24" s="20">
        <v>0.36036505523721102</v>
      </c>
      <c r="S24" s="20">
        <v>0.52822443129293295</v>
      </c>
    </row>
    <row r="25" spans="2:19" x14ac:dyDescent="0.25">
      <c r="B25" s="10" t="s">
        <v>81</v>
      </c>
      <c r="C25" s="20">
        <v>1.0109552266145801E-2</v>
      </c>
      <c r="D25" s="20">
        <v>0</v>
      </c>
      <c r="E25" s="20">
        <v>0</v>
      </c>
      <c r="F25" s="20">
        <v>1.7514416241751101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</row>
    <row r="26" spans="2:19" x14ac:dyDescent="0.25">
      <c r="C26" s="20"/>
      <c r="D26" s="13"/>
      <c r="E26" s="11"/>
      <c r="F26" s="11"/>
      <c r="G26" s="11"/>
      <c r="H26" s="11"/>
      <c r="I26" s="11"/>
      <c r="J26" s="21"/>
      <c r="K26" s="20"/>
      <c r="L26" s="20"/>
      <c r="M26" s="20"/>
      <c r="N26" s="20"/>
      <c r="O26" s="20"/>
    </row>
    <row r="27" spans="2:19" x14ac:dyDescent="0.25">
      <c r="C27" s="20"/>
      <c r="D27" s="13"/>
      <c r="E27" s="11"/>
      <c r="F27" s="11"/>
      <c r="G27" s="11"/>
      <c r="H27" s="11"/>
      <c r="I27" s="11"/>
      <c r="J27" s="21"/>
      <c r="K27" s="20"/>
      <c r="L27" s="20"/>
      <c r="M27" s="20"/>
      <c r="N27" s="20"/>
      <c r="O27" s="20"/>
    </row>
    <row r="28" spans="2:19" x14ac:dyDescent="0.25">
      <c r="B28" s="14"/>
      <c r="C28" s="12"/>
      <c r="D28" s="13"/>
      <c r="E28" s="11"/>
      <c r="F28" s="11"/>
      <c r="G28" s="11"/>
      <c r="H28" s="11"/>
      <c r="I28" s="11"/>
      <c r="J28" s="11"/>
    </row>
    <row r="29" spans="2:19" x14ac:dyDescent="0.25">
      <c r="B29" s="14"/>
      <c r="C29" s="12"/>
      <c r="D29" s="13"/>
      <c r="E29" s="11"/>
      <c r="F29" s="11"/>
      <c r="G29" s="11"/>
      <c r="H29" s="11"/>
      <c r="I29" s="11"/>
      <c r="J29" s="11"/>
    </row>
    <row r="30" spans="2:19" x14ac:dyDescent="0.25">
      <c r="B30" s="14"/>
      <c r="C30" s="12"/>
      <c r="D30" s="13"/>
      <c r="E30" s="11"/>
      <c r="F30" s="11"/>
      <c r="G30" s="11"/>
      <c r="H30" s="11"/>
      <c r="I30" s="11"/>
      <c r="J30" s="11"/>
    </row>
    <row r="31" spans="2:19" x14ac:dyDescent="0.25">
      <c r="B31" s="14"/>
      <c r="C31" s="12"/>
      <c r="D31" s="13"/>
      <c r="E31" s="11"/>
      <c r="F31" s="11"/>
      <c r="G31" s="11"/>
      <c r="H31" s="11"/>
      <c r="I31" s="11"/>
      <c r="J31" s="11"/>
    </row>
    <row r="32" spans="2:19" x14ac:dyDescent="0.25">
      <c r="B32" s="14"/>
      <c r="C32" s="12"/>
      <c r="D32" s="13"/>
      <c r="E32" s="11"/>
      <c r="F32" s="11"/>
      <c r="G32" s="11"/>
      <c r="H32" s="11"/>
      <c r="I32" s="11"/>
      <c r="J32" s="11"/>
    </row>
    <row r="33" spans="2:10" x14ac:dyDescent="0.25">
      <c r="B33" s="14"/>
      <c r="C33" s="12"/>
      <c r="D33" s="13"/>
      <c r="E33" s="11"/>
      <c r="F33" s="11"/>
      <c r="G33" s="11"/>
      <c r="H33" s="11"/>
      <c r="I33" s="11"/>
      <c r="J33" s="11"/>
    </row>
    <row r="34" spans="2:10" x14ac:dyDescent="0.25">
      <c r="B34" s="14"/>
      <c r="C34" s="12"/>
      <c r="D34" s="13"/>
      <c r="E34" s="11"/>
      <c r="F34" s="11"/>
      <c r="G34" s="11"/>
      <c r="H34" s="11"/>
      <c r="I34" s="11"/>
      <c r="J34" s="11"/>
    </row>
    <row r="35" spans="2:10" x14ac:dyDescent="0.25">
      <c r="B35" s="14"/>
      <c r="C35" s="12"/>
      <c r="D35" s="13"/>
      <c r="E35" s="11"/>
      <c r="F35" s="11"/>
      <c r="G35" s="11"/>
      <c r="H35" s="11"/>
      <c r="I35" s="11"/>
      <c r="J35" s="11"/>
    </row>
    <row r="36" spans="2:10" x14ac:dyDescent="0.25">
      <c r="B36" s="14"/>
      <c r="C36" s="12"/>
      <c r="D36" s="13"/>
      <c r="E36" s="11"/>
      <c r="F36" s="11"/>
      <c r="G36" s="11"/>
      <c r="H36" s="11"/>
      <c r="I36" s="11"/>
      <c r="J36" s="11"/>
    </row>
    <row r="37" spans="2:10" x14ac:dyDescent="0.25">
      <c r="B37" s="14"/>
      <c r="C37" s="12"/>
      <c r="D37" s="13"/>
      <c r="E37" s="11"/>
      <c r="F37" s="11"/>
      <c r="G37" s="11"/>
      <c r="H37" s="11"/>
      <c r="I37" s="11"/>
      <c r="J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Holdings</vt:lpstr>
      <vt:lpstr>Factor Exposures</vt:lpstr>
      <vt:lpstr>Portfolio exposure</vt:lpstr>
      <vt:lpstr>Holdings!Print_Area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cp:lastPrinted>2017-03-09T03:05:13Z</cp:lastPrinted>
  <dcterms:created xsi:type="dcterms:W3CDTF">2017-02-09T19:00:25Z</dcterms:created>
  <dcterms:modified xsi:type="dcterms:W3CDTF">2017-04-13T17:00:32Z</dcterms:modified>
</cp:coreProperties>
</file>