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90" windowWidth="19035" windowHeight="9720" tabRatio="502"/>
  </bookViews>
  <sheets>
    <sheet name="vehicles" sheetId="1" r:id="rId1"/>
    <sheet name="peds" sheetId="2" r:id="rId2"/>
    <sheet name="Sheet1" sheetId="3" r:id="rId3"/>
  </sheets>
  <calcPr calcId="125725"/>
</workbook>
</file>

<file path=xl/calcChain.xml><?xml version="1.0" encoding="utf-8"?>
<calcChain xmlns="http://schemas.openxmlformats.org/spreadsheetml/2006/main">
  <c r="L29" i="2"/>
  <c r="I29"/>
  <c r="F29"/>
  <c r="C29"/>
  <c r="B49"/>
  <c r="K5"/>
  <c r="E4"/>
  <c r="B49" i="1"/>
  <c r="M63" i="2" l="1"/>
  <c r="K63"/>
  <c r="J63"/>
  <c r="H63"/>
  <c r="G63"/>
  <c r="E63"/>
  <c r="D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K70" s="1"/>
  <c r="J58"/>
  <c r="J70" s="1"/>
  <c r="I58"/>
  <c r="I70" s="1"/>
  <c r="H58"/>
  <c r="H70" s="1"/>
  <c r="G58"/>
  <c r="G70" s="1"/>
  <c r="F58"/>
  <c r="F70" s="1"/>
  <c r="E58"/>
  <c r="E70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S55" s="1"/>
  <c r="D55"/>
  <c r="C55"/>
  <c r="B55"/>
  <c r="M54"/>
  <c r="L54"/>
  <c r="K54"/>
  <c r="U54" s="1"/>
  <c r="J54"/>
  <c r="I54"/>
  <c r="H54"/>
  <c r="T54" s="1"/>
  <c r="G54"/>
  <c r="F54"/>
  <c r="E54"/>
  <c r="S54" s="1"/>
  <c r="D54"/>
  <c r="C54"/>
  <c r="B54"/>
  <c r="M53"/>
  <c r="L53"/>
  <c r="K53"/>
  <c r="U53" s="1"/>
  <c r="J53"/>
  <c r="I53"/>
  <c r="H53"/>
  <c r="T53" s="1"/>
  <c r="G53"/>
  <c r="F53"/>
  <c r="E53"/>
  <c r="S53" s="1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R49" s="1"/>
  <c r="M48"/>
  <c r="L48"/>
  <c r="K48"/>
  <c r="J48"/>
  <c r="I48"/>
  <c r="H48"/>
  <c r="G48"/>
  <c r="F48"/>
  <c r="E48"/>
  <c r="D48"/>
  <c r="C48"/>
  <c r="B48"/>
  <c r="R48" s="1"/>
  <c r="A48"/>
  <c r="Q48" s="1"/>
  <c r="Q47" s="1"/>
  <c r="N40"/>
  <c r="N39"/>
  <c r="N38"/>
  <c r="N37"/>
  <c r="N36"/>
  <c r="N35"/>
  <c r="N34"/>
  <c r="N33"/>
  <c r="D25"/>
  <c r="F22"/>
  <c r="B12"/>
  <c r="D9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K68" s="1"/>
  <c r="J56"/>
  <c r="J68" s="1"/>
  <c r="I56"/>
  <c r="I68" s="1"/>
  <c r="H56"/>
  <c r="H68" s="1"/>
  <c r="G56"/>
  <c r="G68" s="1"/>
  <c r="F56"/>
  <c r="F68" s="1"/>
  <c r="E56"/>
  <c r="E68" s="1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S55" s="1"/>
  <c r="D55"/>
  <c r="C55"/>
  <c r="B55"/>
  <c r="M54"/>
  <c r="L54"/>
  <c r="K54"/>
  <c r="U54" s="1"/>
  <c r="J54"/>
  <c r="I54"/>
  <c r="H54"/>
  <c r="G54"/>
  <c r="F54"/>
  <c r="E54"/>
  <c r="S54" s="1"/>
  <c r="D54"/>
  <c r="C54"/>
  <c r="B54"/>
  <c r="R54" s="1"/>
  <c r="M53"/>
  <c r="L53"/>
  <c r="K53"/>
  <c r="J53"/>
  <c r="I53"/>
  <c r="H53"/>
  <c r="G53"/>
  <c r="F53"/>
  <c r="E53"/>
  <c r="S53" s="1"/>
  <c r="D53"/>
  <c r="C53"/>
  <c r="B53"/>
  <c r="R53" s="1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A49"/>
  <c r="A50" s="1"/>
  <c r="M48"/>
  <c r="M63" s="1"/>
  <c r="L48"/>
  <c r="K48"/>
  <c r="J48"/>
  <c r="J63" s="1"/>
  <c r="I48"/>
  <c r="H48"/>
  <c r="G48"/>
  <c r="F48"/>
  <c r="F63" s="1"/>
  <c r="E48"/>
  <c r="D48"/>
  <c r="D63" s="1"/>
  <c r="C48"/>
  <c r="C63" s="1"/>
  <c r="B48"/>
  <c r="A48"/>
  <c r="Q48" s="1"/>
  <c r="Q47" s="1"/>
  <c r="N40"/>
  <c r="N39"/>
  <c r="N38"/>
  <c r="N37"/>
  <c r="N36"/>
  <c r="N35"/>
  <c r="N34"/>
  <c r="N33"/>
  <c r="D25"/>
  <c r="F22"/>
  <c r="B12"/>
  <c r="D9"/>
  <c r="G63" l="1"/>
  <c r="R48"/>
  <c r="B63"/>
  <c r="S48" i="2"/>
  <c r="U52"/>
  <c r="U51"/>
  <c r="L63"/>
  <c r="U50"/>
  <c r="U48"/>
  <c r="U49"/>
  <c r="T52"/>
  <c r="T51"/>
  <c r="I63"/>
  <c r="T50"/>
  <c r="T49"/>
  <c r="T48"/>
  <c r="S52"/>
  <c r="S51"/>
  <c r="F63"/>
  <c r="S50"/>
  <c r="V48"/>
  <c r="S49"/>
  <c r="C63"/>
  <c r="N63" s="1"/>
  <c r="N70"/>
  <c r="R50"/>
  <c r="R51"/>
  <c r="R52"/>
  <c r="R53"/>
  <c r="R54"/>
  <c r="R55"/>
  <c r="U53" i="1"/>
  <c r="U52"/>
  <c r="U51"/>
  <c r="U50"/>
  <c r="L63"/>
  <c r="U48"/>
  <c r="U49"/>
  <c r="K63"/>
  <c r="T53"/>
  <c r="T54"/>
  <c r="V54" s="1"/>
  <c r="T52"/>
  <c r="T51"/>
  <c r="I63"/>
  <c r="T50"/>
  <c r="T48"/>
  <c r="T49"/>
  <c r="H63"/>
  <c r="N63" s="1"/>
  <c r="S52"/>
  <c r="S51"/>
  <c r="S49"/>
  <c r="S50"/>
  <c r="S48"/>
  <c r="V53"/>
  <c r="E63"/>
  <c r="R49"/>
  <c r="R52"/>
  <c r="R51"/>
  <c r="R50"/>
  <c r="V50" i="2"/>
  <c r="V51"/>
  <c r="V52"/>
  <c r="V53"/>
  <c r="V54"/>
  <c r="N48"/>
  <c r="A49"/>
  <c r="N49"/>
  <c r="N51"/>
  <c r="E68"/>
  <c r="S56"/>
  <c r="K68"/>
  <c r="U56"/>
  <c r="V57"/>
  <c r="V59"/>
  <c r="N50"/>
  <c r="N52"/>
  <c r="N53"/>
  <c r="N54"/>
  <c r="T55"/>
  <c r="V55" s="1"/>
  <c r="N55"/>
  <c r="N68"/>
  <c r="S58"/>
  <c r="U58"/>
  <c r="Q63"/>
  <c r="N56"/>
  <c r="R56"/>
  <c r="T56"/>
  <c r="N57"/>
  <c r="N58"/>
  <c r="R58"/>
  <c r="T58"/>
  <c r="N59"/>
  <c r="V48" i="1"/>
  <c r="A51"/>
  <c r="Q50"/>
  <c r="N48"/>
  <c r="Q49"/>
  <c r="N50"/>
  <c r="N52"/>
  <c r="N53"/>
  <c r="N54"/>
  <c r="R55"/>
  <c r="N55"/>
  <c r="N49"/>
  <c r="N51"/>
  <c r="S56"/>
  <c r="T55"/>
  <c r="N68"/>
  <c r="U56"/>
  <c r="N56"/>
  <c r="R56"/>
  <c r="T56"/>
  <c r="N57"/>
  <c r="N58"/>
  <c r="R58"/>
  <c r="T58"/>
  <c r="N59"/>
  <c r="Q63"/>
  <c r="E70"/>
  <c r="K70"/>
  <c r="N70" s="1"/>
  <c r="V50" l="1"/>
  <c r="V49"/>
  <c r="V49" i="2"/>
  <c r="V52" i="1"/>
  <c r="V51"/>
  <c r="V58" i="2"/>
  <c r="V56"/>
  <c r="Q49"/>
  <c r="A50"/>
  <c r="V58" i="1"/>
  <c r="V56"/>
  <c r="V55"/>
  <c r="Q51"/>
  <c r="A52"/>
  <c r="A51" i="2" l="1"/>
  <c r="Q50"/>
  <c r="A53" i="1"/>
  <c r="Q52"/>
  <c r="A64"/>
  <c r="Q51" i="2" l="1"/>
  <c r="A52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3" i="2" l="1"/>
  <c r="Q52"/>
  <c r="A64"/>
  <c r="A55" i="1"/>
  <c r="Q55" s="1"/>
  <c r="Q54"/>
  <c r="N66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7" l="1"/>
  <c r="L66" i="2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N65" i="1"/>
  <c r="A67"/>
  <c r="Q66"/>
  <c r="A55" i="2" l="1"/>
  <c r="Q55" s="1"/>
  <c r="Q54"/>
  <c r="N66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Q67" i="1"/>
  <c r="A68"/>
  <c r="N67" i="2" l="1"/>
  <c r="N65"/>
  <c r="A67"/>
  <c r="Q66"/>
  <c r="A69" i="1"/>
  <c r="Q68"/>
  <c r="Q67" i="2" l="1"/>
  <c r="A68"/>
  <c r="Q69" i="1"/>
  <c r="A70"/>
  <c r="A69" i="2" l="1"/>
  <c r="Q68"/>
  <c r="A71" i="1"/>
  <c r="Q70"/>
  <c r="Q69" i="2" l="1"/>
  <c r="A70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N69" l="1"/>
  <c r="A71" i="2"/>
  <c r="Q70"/>
  <c r="N71" i="1"/>
  <c r="R63" l="1"/>
  <c r="D18" s="1"/>
  <c r="Q71" i="2"/>
  <c r="M71"/>
  <c r="K71"/>
  <c r="I71"/>
  <c r="G71"/>
  <c r="E71"/>
  <c r="C71"/>
  <c r="M69"/>
  <c r="K69"/>
  <c r="I69"/>
  <c r="G69"/>
  <c r="E69"/>
  <c r="C69"/>
  <c r="L71"/>
  <c r="J71"/>
  <c r="H71"/>
  <c r="F71"/>
  <c r="D71"/>
  <c r="L69"/>
  <c r="J69"/>
  <c r="H69"/>
  <c r="F69"/>
  <c r="D69"/>
  <c r="B69"/>
  <c r="N71" l="1"/>
  <c r="N69"/>
  <c r="R63" s="1"/>
  <c r="R64" i="1"/>
  <c r="I77" l="1"/>
  <c r="K23" s="1"/>
  <c r="L77"/>
  <c r="J11" s="1"/>
  <c r="E23"/>
  <c r="F17"/>
  <c r="C11"/>
  <c r="F19"/>
  <c r="L78"/>
  <c r="K11" s="1"/>
  <c r="I76"/>
  <c r="J23" s="1"/>
  <c r="B19"/>
  <c r="B15"/>
  <c r="E11"/>
  <c r="S64"/>
  <c r="W48" s="1"/>
  <c r="C76"/>
  <c r="H15" s="1"/>
  <c r="D11"/>
  <c r="B17"/>
  <c r="D23"/>
  <c r="F15"/>
  <c r="C23"/>
  <c r="C77"/>
  <c r="H19" s="1"/>
  <c r="F78"/>
  <c r="M19" s="1"/>
  <c r="F77"/>
  <c r="M15" s="1"/>
  <c r="R64" i="2"/>
  <c r="D18"/>
  <c r="C7" i="1"/>
  <c r="F7" s="1"/>
  <c r="I77" i="2" l="1"/>
  <c r="K23" s="1"/>
  <c r="I76"/>
  <c r="J23" s="1"/>
  <c r="L77"/>
  <c r="J11" s="1"/>
  <c r="F78"/>
  <c r="M19" s="1"/>
  <c r="F77"/>
  <c r="M15" s="1"/>
  <c r="C76"/>
  <c r="H15" s="1"/>
  <c r="L78"/>
  <c r="K11" s="1"/>
  <c r="C77"/>
  <c r="S64"/>
  <c r="D23"/>
  <c r="F19"/>
  <c r="B17"/>
  <c r="B15"/>
  <c r="D11"/>
  <c r="E23"/>
  <c r="C23"/>
  <c r="B19"/>
  <c r="F17"/>
  <c r="F15"/>
  <c r="E11"/>
  <c r="C11"/>
  <c r="W49" i="1"/>
  <c r="W50" s="1"/>
  <c r="W51" s="1"/>
  <c r="H19" i="2" l="1"/>
  <c r="W48"/>
  <c r="C7"/>
  <c r="F7" s="1"/>
  <c r="T61" i="1"/>
  <c r="K25" s="1"/>
  <c r="S61"/>
  <c r="M22" s="1"/>
  <c r="R61"/>
  <c r="I12" s="1"/>
  <c r="V61"/>
  <c r="U61"/>
  <c r="K9" s="1"/>
  <c r="W49" i="2" l="1"/>
  <c r="W50" s="1"/>
  <c r="W51" s="1"/>
  <c r="W61" i="1"/>
  <c r="Q61" s="1"/>
  <c r="F8" s="1"/>
  <c r="C8" s="1"/>
  <c r="C28"/>
  <c r="V61" i="2" l="1"/>
  <c r="W61" s="1"/>
  <c r="Q61" s="1"/>
  <c r="F8" s="1"/>
  <c r="C8" s="1"/>
  <c r="S61"/>
  <c r="M22" s="1"/>
  <c r="R61"/>
  <c r="I12" s="1"/>
  <c r="U61"/>
  <c r="K9" s="1"/>
  <c r="T61"/>
  <c r="K25" s="1"/>
  <c r="C28" l="1"/>
</calcChain>
</file>

<file path=xl/sharedStrings.xml><?xml version="1.0" encoding="utf-8"?>
<sst xmlns="http://schemas.openxmlformats.org/spreadsheetml/2006/main" count="209" uniqueCount="54">
  <si>
    <t>Sierra Traffic Data Service</t>
  </si>
  <si>
    <t>INTERSECTION TURNING MOVEMENT SUMMARY</t>
  </si>
  <si>
    <t xml:space="preserve"> </t>
  </si>
  <si>
    <t>INTERSECTION:</t>
  </si>
  <si>
    <t xml:space="preserve">  </t>
  </si>
  <si>
    <t>TIME:</t>
  </si>
  <si>
    <t>to</t>
  </si>
  <si>
    <t>DATE:</t>
  </si>
  <si>
    <t xml:space="preserve">    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</si>
  <si>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</si>
  <si>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</si>
  <si>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</si>
  <si>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</si>
  <si>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</si>
  <si>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</si>
  <si>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</si>
  <si>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</si>
  <si>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</si>
  <si>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</si>
  <si>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</si>
  <si>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</si>
  <si>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</si>
  <si>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</si>
  <si>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</si>
  <si>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</si>
  <si>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</si>
  <si>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</si>
  <si>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</si>
  <si>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</si>
  <si>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</si>
  <si>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</si>
  <si>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</si>
  <si>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</si>
  <si>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</si>
  <si>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</si>
  <si>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</si>
  <si>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</si>
  <si>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</si>
  <si>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</si>
  <si>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</si>
  <si>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</si>
  <si>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</si>
  <si>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</si>
  <si>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</si>
  <si>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</si>
  <si>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</si>
  <si>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</si>
  <si>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</si>
  <si>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</si>
  <si>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</si>
  <si>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</si>
  <si>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E. 5th Street</t>
  </si>
  <si>
    <t>N. Center</t>
  </si>
  <si>
    <t>N. Center St. - E. 5th Street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</si>
</sst>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0">
    <font>
      <sz val="11"/>
      <color theme="1"/>
      <name val="Calibri"/>
      <family val="2"/>
      <scheme val="minor"/>
    </font>
    <font>
      <sz val="12"/>
      <name val="Tms Rmn"/>
    </font>
    <font>
      <b/>
      <sz val="12"/>
      <name val="Tms Rmn"/>
    </font>
    <font>
      <b/>
      <sz val="10"/>
      <name val="Tms Rmn"/>
    </font>
    <font>
      <b/>
      <sz val="12"/>
      <name val="Geneva"/>
    </font>
    <font>
      <b/>
      <u/>
      <sz val="12"/>
      <name val="Tms Rmn"/>
    </font>
    <font>
      <b/>
      <i/>
      <sz val="12"/>
      <name val="Geneva"/>
    </font>
    <font>
      <b/>
      <i/>
      <sz val="12"/>
      <name val="Tms Rmn"/>
    </font>
    <font>
      <sz val="12"/>
      <color theme="1"/>
      <name val="Calibri"/>
      <family val="2"/>
      <scheme val="minor"/>
    </font>
    <font>
      <b/>
      <sz val="12"/>
      <color indexed="11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2" borderId="1" xfId="1" applyFont="1" applyFill="1" applyBorder="1" applyProtection="1"/>
    <xf numFmtId="0" fontId="2" fillId="2" borderId="2" xfId="1" applyFont="1" applyFill="1" applyBorder="1" applyAlignment="1" applyProtection="1">
      <alignment horizontal="left"/>
    </xf>
    <xf numFmtId="0" fontId="2" fillId="2" borderId="4" xfId="1" applyFont="1" applyFill="1" applyBorder="1" applyProtection="1"/>
    <xf numFmtId="0" fontId="2" fillId="2" borderId="0" xfId="1" applyFont="1" applyFill="1" applyBorder="1" applyAlignment="1" applyProtection="1">
      <alignment horizontal="left"/>
      <protection locked="0"/>
    </xf>
    <xf numFmtId="0" fontId="2" fillId="2" borderId="0" xfId="1" applyFont="1" applyFill="1" applyBorder="1" applyAlignment="1" applyProtection="1">
      <alignment horizontal="left"/>
    </xf>
    <xf numFmtId="0" fontId="2" fillId="2" borderId="6" xfId="1" applyFont="1" applyFill="1" applyBorder="1" applyAlignment="1" applyProtection="1">
      <alignment horizontal="left"/>
    </xf>
    <xf numFmtId="0" fontId="2" fillId="2" borderId="7" xfId="1" applyFont="1" applyFill="1" applyBorder="1" applyAlignment="1" applyProtection="1">
      <alignment horizontal="left"/>
      <protection locked="0"/>
    </xf>
    <xf numFmtId="0" fontId="1" fillId="2" borderId="7" xfId="1" applyFont="1" applyFill="1" applyBorder="1" applyProtection="1"/>
    <xf numFmtId="0" fontId="1" fillId="2" borderId="7" xfId="1" applyFont="1" applyFill="1" applyBorder="1" applyAlignment="1" applyProtection="1">
      <alignment horizontal="left"/>
    </xf>
    <xf numFmtId="0" fontId="2" fillId="2" borderId="7" xfId="1" applyFont="1" applyFill="1" applyBorder="1" applyProtection="1"/>
    <xf numFmtId="0" fontId="2" fillId="2" borderId="7" xfId="1" applyFont="1" applyFill="1" applyBorder="1" applyAlignment="1" applyProtection="1">
      <alignment horizontal="centerContinuous"/>
      <protection locked="0"/>
    </xf>
    <xf numFmtId="0" fontId="2" fillId="2" borderId="7" xfId="1" applyFont="1" applyFill="1" applyBorder="1" applyAlignment="1" applyProtection="1">
      <protection locked="0"/>
    </xf>
    <xf numFmtId="0" fontId="1" fillId="2" borderId="8" xfId="1" applyFont="1" applyFill="1" applyBorder="1" applyProtection="1"/>
    <xf numFmtId="0" fontId="1" fillId="0" borderId="0" xfId="1" applyFont="1" applyBorder="1" applyProtection="1"/>
    <xf numFmtId="1" fontId="1" fillId="0" borderId="4" xfId="1" applyNumberFormat="1" applyFont="1" applyBorder="1" applyAlignment="1" applyProtection="1">
      <alignment horizontal="left"/>
    </xf>
    <xf numFmtId="18" fontId="1" fillId="0" borderId="0" xfId="1" applyNumberFormat="1" applyFont="1" applyBorder="1" applyAlignment="1" applyProtection="1">
      <alignment horizontal="centerContinuous"/>
    </xf>
    <xf numFmtId="0" fontId="1" fillId="0" borderId="0" xfId="1" applyFont="1" applyBorder="1" applyAlignment="1" applyProtection="1">
      <alignment horizontal="centerContinuous"/>
    </xf>
    <xf numFmtId="20" fontId="1" fillId="0" borderId="0" xfId="1" applyNumberFormat="1" applyFont="1" applyBorder="1" applyAlignment="1" applyProtection="1">
      <alignment horizontal="center"/>
    </xf>
    <xf numFmtId="0" fontId="1" fillId="0" borderId="0" xfId="1" applyFont="1" applyProtection="1"/>
    <xf numFmtId="0" fontId="1" fillId="0" borderId="0" xfId="1" applyFont="1" applyBorder="1" applyAlignment="1" applyProtection="1">
      <alignment horizontal="center"/>
    </xf>
    <xf numFmtId="20" fontId="1" fillId="0" borderId="0" xfId="1" applyNumberFormat="1" applyFont="1" applyBorder="1" applyAlignment="1" applyProtection="1">
      <alignment horizontal="centerContinuous"/>
    </xf>
    <xf numFmtId="18" fontId="1" fillId="0" borderId="0" xfId="1" applyNumberFormat="1" applyFont="1" applyBorder="1" applyAlignment="1" applyProtection="1"/>
    <xf numFmtId="0" fontId="1" fillId="0" borderId="0" xfId="1" applyFont="1" applyAlignment="1" applyProtection="1">
      <alignment horizontal="center" vertical="center" textRotation="90"/>
    </xf>
    <xf numFmtId="0" fontId="1" fillId="0" borderId="0" xfId="1" applyFont="1" applyBorder="1" applyAlignment="1" applyProtection="1">
      <alignment horizontal="right"/>
    </xf>
    <xf numFmtId="0" fontId="1" fillId="0" borderId="0" xfId="1" applyFont="1" applyAlignment="1" applyProtection="1">
      <alignment horizontal="center"/>
    </xf>
    <xf numFmtId="0" fontId="1" fillId="0" borderId="4" xfId="1" quotePrefix="1" applyFont="1" applyBorder="1" applyAlignment="1" applyProtection="1">
      <alignment horizontal="left"/>
    </xf>
    <xf numFmtId="0" fontId="4" fillId="2" borderId="9" xfId="0" applyFont="1" applyFill="1" applyBorder="1" applyAlignment="1" applyProtection="1">
      <alignment horizontal="centerContinuous"/>
    </xf>
    <xf numFmtId="0" fontId="4" fillId="2" borderId="2" xfId="0" applyFon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 applyProtection="1">
      <alignment horizontal="centerContinuous"/>
    </xf>
    <xf numFmtId="0" fontId="2" fillId="2" borderId="10" xfId="1" applyFont="1" applyFill="1" applyBorder="1" applyProtection="1"/>
    <xf numFmtId="0" fontId="1" fillId="2" borderId="4" xfId="1" applyFont="1" applyFill="1" applyBorder="1" applyProtection="1"/>
    <xf numFmtId="0" fontId="1" fillId="2" borderId="11" xfId="1" applyFont="1" applyFill="1" applyBorder="1" applyProtection="1"/>
    <xf numFmtId="0" fontId="1" fillId="2" borderId="0" xfId="1" applyFont="1" applyFill="1" applyBorder="1" applyAlignment="1" applyProtection="1">
      <alignment horizontal="center"/>
    </xf>
    <xf numFmtId="0" fontId="1" fillId="2" borderId="11" xfId="1" applyFont="1" applyFill="1" applyBorder="1" applyAlignment="1" applyProtection="1">
      <alignment horizontal="center"/>
    </xf>
    <xf numFmtId="0" fontId="1" fillId="2" borderId="12" xfId="1" applyFont="1" applyFill="1" applyBorder="1" applyProtection="1"/>
    <xf numFmtId="0" fontId="1" fillId="2" borderId="13" xfId="1" applyFont="1" applyFill="1" applyBorder="1" applyAlignment="1" applyProtection="1">
      <alignment horizontal="center"/>
    </xf>
    <xf numFmtId="0" fontId="1" fillId="2" borderId="7" xfId="1" applyFont="1" applyFill="1" applyBorder="1" applyAlignment="1" applyProtection="1">
      <alignment horizontal="center"/>
    </xf>
    <xf numFmtId="0" fontId="1" fillId="2" borderId="14" xfId="1" applyFont="1" applyFill="1" applyBorder="1" applyProtection="1"/>
    <xf numFmtId="0" fontId="5" fillId="0" borderId="4" xfId="1" applyFont="1" applyBorder="1" applyAlignment="1" applyProtection="1">
      <alignment horizontal="center"/>
    </xf>
    <xf numFmtId="0" fontId="5" fillId="0" borderId="11" xfId="1" applyFont="1" applyBorder="1" applyAlignment="1" applyProtection="1">
      <alignment horizontal="center"/>
    </xf>
    <xf numFmtId="0" fontId="5" fillId="0" borderId="0" xfId="1" applyFont="1" applyBorder="1" applyAlignment="1" applyProtection="1">
      <alignment horizontal="center"/>
    </xf>
    <xf numFmtId="0" fontId="5" fillId="0" borderId="12" xfId="1" applyFont="1" applyBorder="1" applyAlignment="1" applyProtection="1">
      <alignment horizontal="center"/>
    </xf>
    <xf numFmtId="18" fontId="1" fillId="0" borderId="4" xfId="1" applyNumberFormat="1" applyFont="1" applyBorder="1" applyAlignment="1" applyProtection="1">
      <alignment horizontal="center"/>
    </xf>
    <xf numFmtId="0" fontId="1" fillId="0" borderId="11" xfId="1" applyFont="1" applyBorder="1" applyAlignment="1" applyProtection="1">
      <alignment horizontal="center"/>
      <protection locked="0"/>
    </xf>
    <xf numFmtId="0" fontId="1" fillId="0" borderId="0" xfId="1" applyFont="1" applyBorder="1" applyAlignment="1" applyProtection="1">
      <alignment horizontal="center"/>
      <protection locked="0"/>
    </xf>
    <xf numFmtId="0" fontId="1" fillId="0" borderId="11" xfId="1" applyFont="1" applyFill="1" applyBorder="1" applyAlignment="1" applyProtection="1">
      <alignment horizontal="center"/>
      <protection locked="0"/>
    </xf>
    <xf numFmtId="0" fontId="1" fillId="0" borderId="12" xfId="1" applyFont="1" applyBorder="1" applyAlignment="1" applyProtection="1">
      <alignment horizontal="center"/>
    </xf>
    <xf numFmtId="0" fontId="1" fillId="0" borderId="11" xfId="1" applyFont="1" applyBorder="1" applyAlignment="1" applyProtection="1">
      <alignment horizontal="center"/>
    </xf>
    <xf numFmtId="0" fontId="1" fillId="0" borderId="11" xfId="1" applyFont="1" applyFill="1" applyBorder="1" applyAlignment="1" applyProtection="1">
      <alignment horizontal="center"/>
    </xf>
    <xf numFmtId="0" fontId="1" fillId="0" borderId="4" xfId="1" applyFont="1" applyBorder="1" applyAlignment="1" applyProtection="1">
      <alignment horizontal="center"/>
    </xf>
    <xf numFmtId="0" fontId="1" fillId="0" borderId="13" xfId="1" applyFont="1" applyBorder="1" applyAlignment="1" applyProtection="1">
      <alignment horizontal="center"/>
    </xf>
    <xf numFmtId="0" fontId="1" fillId="0" borderId="7" xfId="1" applyFont="1" applyBorder="1" applyAlignment="1" applyProtection="1">
      <alignment horizontal="center"/>
    </xf>
    <xf numFmtId="0" fontId="1" fillId="0" borderId="14" xfId="1" applyFont="1" applyBorder="1" applyAlignment="1" applyProtection="1">
      <alignment horizontal="center"/>
    </xf>
    <xf numFmtId="0" fontId="1" fillId="0" borderId="6" xfId="1" applyFont="1" applyBorder="1" applyAlignment="1" applyProtection="1">
      <alignment horizontal="left"/>
    </xf>
    <xf numFmtId="0" fontId="1" fillId="0" borderId="13" xfId="1" applyFont="1" applyBorder="1" applyProtection="1"/>
    <xf numFmtId="0" fontId="1" fillId="0" borderId="7" xfId="1" applyFont="1" applyBorder="1" applyProtection="1"/>
    <xf numFmtId="0" fontId="1" fillId="0" borderId="14" xfId="1" applyFont="1" applyBorder="1" applyProtection="1"/>
    <xf numFmtId="0" fontId="1" fillId="0" borderId="0" xfId="1" applyFont="1" applyAlignment="1" applyProtection="1">
      <alignment horizontal="left"/>
    </xf>
    <xf numFmtId="0" fontId="2" fillId="0" borderId="0" xfId="1" applyFont="1" applyProtection="1"/>
    <xf numFmtId="0" fontId="6" fillId="0" borderId="0" xfId="0" applyFont="1"/>
    <xf numFmtId="0" fontId="7" fillId="0" borderId="0" xfId="1" applyFont="1" applyProtection="1"/>
    <xf numFmtId="0" fontId="2" fillId="0" borderId="0" xfId="1" applyFont="1" applyAlignment="1" applyProtection="1">
      <alignment horizontal="centerContinuous"/>
    </xf>
    <xf numFmtId="0" fontId="1" fillId="0" borderId="0" xfId="1" applyFont="1" applyAlignment="1" applyProtection="1">
      <alignment horizontal="centerContinuous"/>
    </xf>
    <xf numFmtId="0" fontId="1" fillId="2" borderId="2" xfId="1" applyFont="1" applyFill="1" applyBorder="1" applyProtection="1"/>
    <xf numFmtId="18" fontId="2" fillId="2" borderId="2" xfId="1" applyNumberFormat="1" applyFont="1" applyFill="1" applyBorder="1" applyAlignment="1" applyProtection="1">
      <alignment horizontal="left"/>
      <protection locked="0"/>
    </xf>
    <xf numFmtId="0" fontId="2" fillId="2" borderId="2" xfId="1" applyFont="1" applyFill="1" applyBorder="1" applyAlignment="1" applyProtection="1">
      <alignment horizontal="center"/>
      <protection locked="0"/>
    </xf>
    <xf numFmtId="18" fontId="2" fillId="2" borderId="2" xfId="1" applyNumberFormat="1" applyFont="1" applyFill="1" applyBorder="1" applyAlignment="1" applyProtection="1">
      <protection locked="0"/>
    </xf>
    <xf numFmtId="18" fontId="1" fillId="2" borderId="3" xfId="1" applyNumberFormat="1" applyFont="1" applyFill="1" applyBorder="1" applyAlignment="1" applyProtection="1"/>
    <xf numFmtId="18" fontId="1" fillId="0" borderId="0" xfId="1" applyNumberFormat="1" applyFont="1" applyAlignment="1" applyProtection="1"/>
    <xf numFmtId="0" fontId="8" fillId="0" borderId="0" xfId="0" applyFont="1" applyProtection="1"/>
    <xf numFmtId="0" fontId="1" fillId="2" borderId="0" xfId="1" applyFont="1" applyFill="1" applyBorder="1" applyProtection="1"/>
    <xf numFmtId="164" fontId="2" fillId="2" borderId="0" xfId="1" applyNumberFormat="1" applyFont="1" applyFill="1" applyBorder="1" applyAlignment="1" applyProtection="1">
      <alignment horizontal="centerContinuous"/>
      <protection locked="0"/>
    </xf>
    <xf numFmtId="0" fontId="2" fillId="2" borderId="0" xfId="1" applyFont="1" applyFill="1" applyBorder="1" applyAlignment="1" applyProtection="1">
      <alignment horizontal="centerContinuous"/>
      <protection locked="0"/>
    </xf>
    <xf numFmtId="0" fontId="1" fillId="2" borderId="5" xfId="1" applyFont="1" applyFill="1" applyBorder="1" applyAlignment="1" applyProtection="1"/>
    <xf numFmtId="0" fontId="1" fillId="0" borderId="0" xfId="1" applyFont="1" applyBorder="1" applyAlignment="1" applyProtection="1"/>
    <xf numFmtId="0" fontId="1" fillId="0" borderId="5" xfId="1" applyFont="1" applyBorder="1" applyProtection="1"/>
    <xf numFmtId="2" fontId="1" fillId="0" borderId="0" xfId="1" applyNumberFormat="1" applyFont="1" applyBorder="1" applyAlignment="1" applyProtection="1">
      <alignment horizontal="center"/>
    </xf>
    <xf numFmtId="0" fontId="1" fillId="0" borderId="4" xfId="1" applyFont="1" applyBorder="1" applyProtection="1"/>
    <xf numFmtId="0" fontId="1" fillId="0" borderId="0" xfId="1" applyFont="1" applyAlignment="1" applyProtection="1">
      <alignment horizontal="right" vertical="center" textRotation="90"/>
    </xf>
    <xf numFmtId="0" fontId="1" fillId="0" borderId="0" xfId="1" applyFont="1" applyAlignment="1" applyProtection="1">
      <alignment horizontal="left" vertical="center" textRotation="90"/>
    </xf>
    <xf numFmtId="0" fontId="1" fillId="0" borderId="0" xfId="1" applyFont="1" applyAlignment="1" applyProtection="1">
      <alignment horizontal="center" textRotation="90"/>
    </xf>
    <xf numFmtId="0" fontId="8" fillId="0" borderId="4" xfId="0" applyFont="1" applyBorder="1" applyProtection="1"/>
    <xf numFmtId="2" fontId="1" fillId="0" borderId="0" xfId="1" applyNumberFormat="1" applyFont="1" applyBorder="1" applyAlignment="1" applyProtection="1">
      <alignment horizontal="left"/>
    </xf>
    <xf numFmtId="0" fontId="1" fillId="0" borderId="0" xfId="1" applyFont="1" applyAlignment="1" applyProtection="1">
      <alignment horizontal="right"/>
    </xf>
    <xf numFmtId="0" fontId="1" fillId="0" borderId="5" xfId="1" applyFont="1" applyBorder="1" applyAlignment="1" applyProtection="1">
      <alignment horizontal="center"/>
    </xf>
    <xf numFmtId="0" fontId="8" fillId="0" borderId="5" xfId="0" applyFont="1" applyBorder="1" applyProtection="1"/>
    <xf numFmtId="2" fontId="1" fillId="0" borderId="0" xfId="1" applyNumberFormat="1" applyFont="1" applyAlignment="1" applyProtection="1">
      <alignment horizontal="right"/>
    </xf>
    <xf numFmtId="3" fontId="1" fillId="0" borderId="0" xfId="1" applyNumberFormat="1" applyFont="1" applyAlignment="1" applyProtection="1">
      <alignment horizontal="center"/>
    </xf>
    <xf numFmtId="0" fontId="1" fillId="0" borderId="0" xfId="1" applyFont="1" applyAlignment="1" applyProtection="1">
      <alignment horizontal="center" vertical="top" textRotation="90"/>
    </xf>
    <xf numFmtId="0" fontId="9" fillId="0" borderId="0" xfId="1" applyFont="1" applyFill="1" applyBorder="1" applyAlignment="1" applyProtection="1">
      <alignment horizontal="centerContinuous"/>
    </xf>
    <xf numFmtId="0" fontId="1" fillId="0" borderId="0" xfId="1" applyFont="1" applyFill="1" applyBorder="1" applyAlignment="1" applyProtection="1">
      <alignment horizontal="centerContinuous"/>
    </xf>
    <xf numFmtId="0" fontId="2" fillId="0" borderId="0" xfId="1" applyFont="1" applyBorder="1" applyProtection="1"/>
    <xf numFmtId="20" fontId="1" fillId="0" borderId="0" xfId="1" applyNumberFormat="1" applyFont="1" applyProtection="1"/>
    <xf numFmtId="1" fontId="1" fillId="0" borderId="0" xfId="1" applyNumberFormat="1" applyFont="1" applyAlignment="1" applyProtection="1">
      <alignment horizontal="center"/>
    </xf>
    <xf numFmtId="20" fontId="1" fillId="0" borderId="0" xfId="1" applyNumberFormat="1" applyFont="1" applyAlignment="1" applyProtection="1">
      <alignment horizontal="center"/>
    </xf>
    <xf numFmtId="0" fontId="1" fillId="0" borderId="0" xfId="1" applyFont="1" applyAlignment="1" applyProtection="1"/>
    <xf numFmtId="0" fontId="2" fillId="0" borderId="0" xfId="1" applyFont="1" applyAlignment="1" applyProtection="1">
      <alignment horizontal="left"/>
    </xf>
    <xf numFmtId="0" fontId="1" fillId="0" borderId="0" xfId="1" applyFont="1" applyBorder="1" applyAlignment="1" applyProtection="1">
      <alignment horizontal="left"/>
    </xf>
    <xf numFmtId="0" fontId="3" fillId="2" borderId="6" xfId="1" applyFont="1" applyFill="1" applyBorder="1" applyAlignment="1" applyProtection="1">
      <alignment horizontal="center"/>
    </xf>
    <xf numFmtId="0" fontId="3" fillId="0" borderId="6" xfId="1" applyFont="1" applyBorder="1" applyAlignment="1" applyProtection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22885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47625</xdr:colOff>
      <xdr:row>11</xdr:row>
      <xdr:rowOff>142875</xdr:rowOff>
    </xdr:from>
    <xdr:to>
      <xdr:col>4</xdr:col>
      <xdr:colOff>171450</xdr:colOff>
      <xdr:row>12</xdr:row>
      <xdr:rowOff>152400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3258911" y="2483304"/>
          <a:ext cx="123825" cy="213632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2193471" y="2454729"/>
          <a:ext cx="104775" cy="232682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46685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869621" y="3086100"/>
          <a:ext cx="219075" cy="953861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755321"/>
          <a:ext cx="8309882" cy="4027715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502656" y="2028783"/>
              <a:ext cx="1680000" cy="1020000"/>
              <a:chOff x="7502656" y="2028783"/>
              <a:chExt cx="1680000" cy="102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502656" y="2028783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502656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630380" y="2040000"/>
              <a:ext cx="2020000" cy="1020000"/>
              <a:chOff x="263038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65038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630380" y="3039519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536095" y="4530722"/>
              <a:ext cx="1687067" cy="1040000"/>
              <a:chOff x="7536095" y="4530722"/>
              <a:chExt cx="1687067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536095" y="4530722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543162" y="4534873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800350" y="247650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3325586" y="2473779"/>
          <a:ext cx="123825" cy="213632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2193471" y="2454729"/>
          <a:ext cx="104775" cy="232682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2028825" y="288607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869621" y="3086100"/>
          <a:ext cx="219075" cy="953861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755321"/>
          <a:ext cx="8309882" cy="4027715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597761" y="2014392"/>
              <a:ext cx="1680000" cy="1040000"/>
              <a:chOff x="7597761" y="2014392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621535" y="2014392"/>
                <a:ext cx="0" cy="1020001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597761" y="3054392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627967" y="4514392"/>
              <a:ext cx="1680000" cy="1040002"/>
              <a:chOff x="7627967" y="4514392"/>
              <a:chExt cx="1680000" cy="1040002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642102" y="4514394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627967" y="4514392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121"/>
  <sheetViews>
    <sheetView tabSelected="1" zoomScale="70" zoomScaleNormal="70" workbookViewId="0">
      <selection activeCell="H13" sqref="H13"/>
    </sheetView>
  </sheetViews>
  <sheetFormatPr defaultColWidth="10" defaultRowHeight="15.75"/>
  <cols>
    <col min="1" max="1" width="17.28515625" style="19" customWidth="1"/>
    <col min="2" max="2" width="10.42578125" style="19" customWidth="1"/>
    <col min="3" max="6" width="10.140625" style="19" bestFit="1" customWidth="1"/>
    <col min="7" max="7" width="10" style="19"/>
    <col min="8" max="10" width="10.140625" style="19" bestFit="1" customWidth="1"/>
    <col min="11" max="11" width="10.85546875" style="19" bestFit="1" customWidth="1"/>
    <col min="12" max="12" width="10.140625" style="19" bestFit="1" customWidth="1"/>
    <col min="13" max="13" width="10.85546875" style="19" bestFit="1" customWidth="1"/>
    <col min="14" max="16" width="10" style="19"/>
    <col min="17" max="23" width="10.140625" style="19" bestFit="1" customWidth="1"/>
    <col min="24" max="256" width="10" style="19"/>
    <col min="257" max="257" width="9.28515625" style="19" customWidth="1"/>
    <col min="258" max="512" width="10" style="19"/>
    <col min="513" max="513" width="9.28515625" style="19" customWidth="1"/>
    <col min="514" max="768" width="10" style="19"/>
    <col min="769" max="769" width="9.28515625" style="19" customWidth="1"/>
    <col min="770" max="1024" width="10" style="19"/>
    <col min="1025" max="1025" width="9.28515625" style="19" customWidth="1"/>
    <col min="1026" max="1280" width="10" style="19"/>
    <col min="1281" max="1281" width="9.28515625" style="19" customWidth="1"/>
    <col min="1282" max="1536" width="10" style="19"/>
    <col min="1537" max="1537" width="9.28515625" style="19" customWidth="1"/>
    <col min="1538" max="1792" width="10" style="19"/>
    <col min="1793" max="1793" width="9.28515625" style="19" customWidth="1"/>
    <col min="1794" max="2048" width="10" style="19"/>
    <col min="2049" max="2049" width="9.28515625" style="19" customWidth="1"/>
    <col min="2050" max="2304" width="10" style="19"/>
    <col min="2305" max="2305" width="9.28515625" style="19" customWidth="1"/>
    <col min="2306" max="2560" width="10" style="19"/>
    <col min="2561" max="2561" width="9.28515625" style="19" customWidth="1"/>
    <col min="2562" max="2816" width="10" style="19"/>
    <col min="2817" max="2817" width="9.28515625" style="19" customWidth="1"/>
    <col min="2818" max="3072" width="10" style="19"/>
    <col min="3073" max="3073" width="9.28515625" style="19" customWidth="1"/>
    <col min="3074" max="3328" width="10" style="19"/>
    <col min="3329" max="3329" width="9.28515625" style="19" customWidth="1"/>
    <col min="3330" max="3584" width="10" style="19"/>
    <col min="3585" max="3585" width="9.28515625" style="19" customWidth="1"/>
    <col min="3586" max="3840" width="10" style="19"/>
    <col min="3841" max="3841" width="9.28515625" style="19" customWidth="1"/>
    <col min="3842" max="4096" width="10" style="19"/>
    <col min="4097" max="4097" width="9.28515625" style="19" customWidth="1"/>
    <col min="4098" max="4352" width="10" style="19"/>
    <col min="4353" max="4353" width="9.28515625" style="19" customWidth="1"/>
    <col min="4354" max="4608" width="10" style="19"/>
    <col min="4609" max="4609" width="9.28515625" style="19" customWidth="1"/>
    <col min="4610" max="4864" width="10" style="19"/>
    <col min="4865" max="4865" width="9.28515625" style="19" customWidth="1"/>
    <col min="4866" max="5120" width="10" style="19"/>
    <col min="5121" max="5121" width="9.28515625" style="19" customWidth="1"/>
    <col min="5122" max="5376" width="10" style="19"/>
    <col min="5377" max="5377" width="9.28515625" style="19" customWidth="1"/>
    <col min="5378" max="5632" width="10" style="19"/>
    <col min="5633" max="5633" width="9.28515625" style="19" customWidth="1"/>
    <col min="5634" max="5888" width="10" style="19"/>
    <col min="5889" max="5889" width="9.28515625" style="19" customWidth="1"/>
    <col min="5890" max="6144" width="10" style="19"/>
    <col min="6145" max="6145" width="9.28515625" style="19" customWidth="1"/>
    <col min="6146" max="6400" width="10" style="19"/>
    <col min="6401" max="6401" width="9.28515625" style="19" customWidth="1"/>
    <col min="6402" max="6656" width="10" style="19"/>
    <col min="6657" max="6657" width="9.28515625" style="19" customWidth="1"/>
    <col min="6658" max="6912" width="10" style="19"/>
    <col min="6913" max="6913" width="9.28515625" style="19" customWidth="1"/>
    <col min="6914" max="7168" width="10" style="19"/>
    <col min="7169" max="7169" width="9.28515625" style="19" customWidth="1"/>
    <col min="7170" max="7424" width="10" style="19"/>
    <col min="7425" max="7425" width="9.28515625" style="19" customWidth="1"/>
    <col min="7426" max="7680" width="10" style="19"/>
    <col min="7681" max="7681" width="9.28515625" style="19" customWidth="1"/>
    <col min="7682" max="7936" width="10" style="19"/>
    <col min="7937" max="7937" width="9.28515625" style="19" customWidth="1"/>
    <col min="7938" max="8192" width="10" style="19"/>
    <col min="8193" max="8193" width="9.28515625" style="19" customWidth="1"/>
    <col min="8194" max="8448" width="10" style="19"/>
    <col min="8449" max="8449" width="9.28515625" style="19" customWidth="1"/>
    <col min="8450" max="8704" width="10" style="19"/>
    <col min="8705" max="8705" width="9.28515625" style="19" customWidth="1"/>
    <col min="8706" max="8960" width="10" style="19"/>
    <col min="8961" max="8961" width="9.28515625" style="19" customWidth="1"/>
    <col min="8962" max="9216" width="10" style="19"/>
    <col min="9217" max="9217" width="9.28515625" style="19" customWidth="1"/>
    <col min="9218" max="9472" width="10" style="19"/>
    <col min="9473" max="9473" width="9.28515625" style="19" customWidth="1"/>
    <col min="9474" max="9728" width="10" style="19"/>
    <col min="9729" max="9729" width="9.28515625" style="19" customWidth="1"/>
    <col min="9730" max="9984" width="10" style="19"/>
    <col min="9985" max="9985" width="9.28515625" style="19" customWidth="1"/>
    <col min="9986" max="10240" width="10" style="19"/>
    <col min="10241" max="10241" width="9.28515625" style="19" customWidth="1"/>
    <col min="10242" max="10496" width="10" style="19"/>
    <col min="10497" max="10497" width="9.28515625" style="19" customWidth="1"/>
    <col min="10498" max="10752" width="10" style="19"/>
    <col min="10753" max="10753" width="9.28515625" style="19" customWidth="1"/>
    <col min="10754" max="11008" width="10" style="19"/>
    <col min="11009" max="11009" width="9.28515625" style="19" customWidth="1"/>
    <col min="11010" max="11264" width="10" style="19"/>
    <col min="11265" max="11265" width="9.28515625" style="19" customWidth="1"/>
    <col min="11266" max="11520" width="10" style="19"/>
    <col min="11521" max="11521" width="9.28515625" style="19" customWidth="1"/>
    <col min="11522" max="11776" width="10" style="19"/>
    <col min="11777" max="11777" width="9.28515625" style="19" customWidth="1"/>
    <col min="11778" max="12032" width="10" style="19"/>
    <col min="12033" max="12033" width="9.28515625" style="19" customWidth="1"/>
    <col min="12034" max="12288" width="10" style="19"/>
    <col min="12289" max="12289" width="9.28515625" style="19" customWidth="1"/>
    <col min="12290" max="12544" width="10" style="19"/>
    <col min="12545" max="12545" width="9.28515625" style="19" customWidth="1"/>
    <col min="12546" max="12800" width="10" style="19"/>
    <col min="12801" max="12801" width="9.28515625" style="19" customWidth="1"/>
    <col min="12802" max="13056" width="10" style="19"/>
    <col min="13057" max="13057" width="9.28515625" style="19" customWidth="1"/>
    <col min="13058" max="13312" width="10" style="19"/>
    <col min="13313" max="13313" width="9.28515625" style="19" customWidth="1"/>
    <col min="13314" max="13568" width="10" style="19"/>
    <col min="13569" max="13569" width="9.28515625" style="19" customWidth="1"/>
    <col min="13570" max="13824" width="10" style="19"/>
    <col min="13825" max="13825" width="9.28515625" style="19" customWidth="1"/>
    <col min="13826" max="14080" width="10" style="19"/>
    <col min="14081" max="14081" width="9.28515625" style="19" customWidth="1"/>
    <col min="14082" max="14336" width="10" style="19"/>
    <col min="14337" max="14337" width="9.28515625" style="19" customWidth="1"/>
    <col min="14338" max="14592" width="10" style="19"/>
    <col min="14593" max="14593" width="9.28515625" style="19" customWidth="1"/>
    <col min="14594" max="14848" width="10" style="19"/>
    <col min="14849" max="14849" width="9.28515625" style="19" customWidth="1"/>
    <col min="14850" max="15104" width="10" style="19"/>
    <col min="15105" max="15105" width="9.28515625" style="19" customWidth="1"/>
    <col min="15106" max="15360" width="10" style="19"/>
    <col min="15361" max="15361" width="9.28515625" style="19" customWidth="1"/>
    <col min="15362" max="15616" width="10" style="19"/>
    <col min="15617" max="15617" width="9.28515625" style="19" customWidth="1"/>
    <col min="15618" max="15872" width="10" style="19"/>
    <col min="15873" max="15873" width="9.28515625" style="19" customWidth="1"/>
    <col min="15874" max="16128" width="10" style="19"/>
    <col min="16129" max="16129" width="9.28515625" style="19" customWidth="1"/>
    <col min="16130" max="16384" width="10" style="19"/>
  </cols>
  <sheetData>
    <row r="1" spans="1:28" s="61" customFormat="1" ht="20.100000000000001" customHeight="1">
      <c r="A1" s="60"/>
      <c r="B1" s="60"/>
      <c r="C1" s="60"/>
      <c r="D1" s="60"/>
      <c r="F1" s="60" t="s">
        <v>0</v>
      </c>
      <c r="G1" s="60"/>
      <c r="H1" s="60"/>
      <c r="I1" s="60"/>
      <c r="J1" s="60"/>
      <c r="K1" s="60"/>
      <c r="L1" s="60"/>
      <c r="M1" s="60"/>
      <c r="N1" s="60"/>
      <c r="O1" s="60"/>
    </row>
    <row r="2" spans="1:28">
      <c r="A2" s="62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28" ht="7.15" customHeight="1" thickBot="1"/>
    <row r="4" spans="1:28" ht="16.5" thickTop="1">
      <c r="A4" s="1" t="s">
        <v>2</v>
      </c>
      <c r="B4" s="1" t="s">
        <v>3</v>
      </c>
      <c r="C4" s="64"/>
      <c r="D4" s="64" t="s">
        <v>4</v>
      </c>
      <c r="E4" s="64" t="s">
        <v>53</v>
      </c>
      <c r="F4" s="64"/>
      <c r="G4" s="64"/>
      <c r="H4" s="64"/>
      <c r="I4" s="2" t="s">
        <v>5</v>
      </c>
      <c r="J4" s="2"/>
      <c r="K4" s="65">
        <v>0.29166666666666702</v>
      </c>
      <c r="L4" s="66" t="s">
        <v>6</v>
      </c>
      <c r="M4" s="67">
        <v>0.375</v>
      </c>
      <c r="N4" s="68"/>
      <c r="O4" s="69"/>
      <c r="P4" s="69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</row>
    <row r="5" spans="1:28">
      <c r="A5" s="3" t="s">
        <v>2</v>
      </c>
      <c r="B5" s="4"/>
      <c r="C5" s="71"/>
      <c r="D5" s="71"/>
      <c r="E5" s="71"/>
      <c r="F5" s="71"/>
      <c r="G5" s="71"/>
      <c r="H5" s="71"/>
      <c r="I5" s="5" t="s">
        <v>7</v>
      </c>
      <c r="J5" s="5" t="s">
        <v>8</v>
      </c>
      <c r="K5" s="72">
        <v>40514</v>
      </c>
      <c r="L5" s="73"/>
      <c r="M5" s="73"/>
      <c r="N5" s="74"/>
      <c r="O5" s="75"/>
      <c r="P5" s="75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28" ht="16.5" thickBot="1">
      <c r="A6" s="6" t="s">
        <v>2</v>
      </c>
      <c r="B6" s="7"/>
      <c r="C6" s="8"/>
      <c r="D6" s="8"/>
      <c r="E6" s="8"/>
      <c r="F6" s="9"/>
      <c r="G6" s="8"/>
      <c r="H6" s="8"/>
      <c r="I6" s="10" t="s">
        <v>9</v>
      </c>
      <c r="J6" s="10"/>
      <c r="K6" s="11"/>
      <c r="L6" s="11"/>
      <c r="M6" s="12"/>
      <c r="N6" s="13"/>
      <c r="O6" s="14"/>
      <c r="P6" s="14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</row>
    <row r="7" spans="1:28" ht="16.5" thickTop="1">
      <c r="A7" s="15" t="s">
        <v>10</v>
      </c>
      <c r="B7" s="14"/>
      <c r="C7" s="16">
        <f>S64</f>
        <v>0.32291666666666635</v>
      </c>
      <c r="D7" s="17"/>
      <c r="E7" s="18" t="s">
        <v>6</v>
      </c>
      <c r="F7" s="16">
        <f>C7+60/1440</f>
        <v>0.36458333333333304</v>
      </c>
      <c r="G7" s="17"/>
      <c r="H7" s="14"/>
      <c r="I7" s="14"/>
      <c r="J7" s="14"/>
      <c r="K7" s="14"/>
      <c r="L7" s="14"/>
      <c r="M7" s="14"/>
      <c r="N7" s="76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</row>
    <row r="8" spans="1:28">
      <c r="A8" s="15" t="s">
        <v>11</v>
      </c>
      <c r="B8" s="14"/>
      <c r="C8" s="16">
        <f>F8-15/1440</f>
        <v>0.32291666666666635</v>
      </c>
      <c r="D8" s="17"/>
      <c r="E8" s="18" t="s">
        <v>6</v>
      </c>
      <c r="F8" s="16">
        <f>Q61</f>
        <v>0.33333333333333304</v>
      </c>
      <c r="G8" s="17"/>
      <c r="H8" s="14"/>
      <c r="I8" s="14"/>
      <c r="J8" s="14"/>
      <c r="K8" s="14"/>
      <c r="L8" s="14"/>
      <c r="M8" s="14"/>
      <c r="N8" s="76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8">
      <c r="A9" s="15"/>
      <c r="B9" s="14"/>
      <c r="C9" s="16"/>
      <c r="D9" s="20" t="str">
        <f>L29</f>
        <v>N. Center</v>
      </c>
      <c r="E9" s="21"/>
      <c r="F9" s="22"/>
      <c r="G9" s="17"/>
      <c r="H9" s="14"/>
      <c r="I9" s="14"/>
      <c r="J9" s="24" t="s">
        <v>12</v>
      </c>
      <c r="K9" s="77" t="e">
        <f>IF(L29="N/A","N/A",L77/(U61*4))</f>
        <v>#DIV/0!</v>
      </c>
      <c r="L9" s="14"/>
      <c r="M9" s="14"/>
      <c r="N9" s="76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8">
      <c r="A10" s="78"/>
      <c r="B10" s="14"/>
      <c r="C10" s="70"/>
      <c r="D10" s="70"/>
      <c r="E10" s="70"/>
      <c r="F10" s="14"/>
      <c r="G10" s="14"/>
      <c r="H10" s="14"/>
      <c r="I10" s="14"/>
      <c r="J10" s="14"/>
      <c r="K10" s="14"/>
      <c r="L10" s="14"/>
      <c r="M10" s="14"/>
      <c r="N10" s="76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8" ht="30" customHeight="1">
      <c r="A11" s="78"/>
      <c r="B11" s="14"/>
      <c r="C11" s="79" t="str">
        <f>IF(L29="N/A","N/A",IF(C29="N/A","N/A",INDEX($B$63:$M$71,$R$64,12)))</f>
        <v/>
      </c>
      <c r="D11" s="23" t="str">
        <f>IF(L29="N/A","N/A",IF(I29="N/A","N/A",INDEX($B$63:$M$71,$R$64,11)))</f>
        <v/>
      </c>
      <c r="E11" s="80" t="str">
        <f>IF(L29="N/A","N/A",IF(F29="N/A","N/A",INDEX($B$63:$M$71,$R$64,10)))</f>
        <v/>
      </c>
      <c r="F11" s="14"/>
      <c r="G11" s="14"/>
      <c r="H11" s="14"/>
      <c r="I11" s="70"/>
      <c r="J11" s="81">
        <f>IF(L29="N/A","N/A",L77)</f>
        <v>0</v>
      </c>
      <c r="K11" s="81">
        <f>IF(L29="N/A","N/A",L78)</f>
        <v>339</v>
      </c>
      <c r="L11" s="14"/>
      <c r="M11" s="14"/>
      <c r="N11" s="76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spans="1:28">
      <c r="A12" s="82"/>
      <c r="B12" s="24" t="str">
        <f>C29</f>
        <v>E. 5th Street</v>
      </c>
      <c r="C12" s="14"/>
      <c r="D12" s="14"/>
      <c r="E12" s="14"/>
      <c r="F12" s="14"/>
      <c r="G12" s="14"/>
      <c r="H12" s="24" t="s">
        <v>12</v>
      </c>
      <c r="I12" s="83">
        <f>IF(C29="N/A","N/A",C77/(R61*4))</f>
        <v>0.88043478260869568</v>
      </c>
      <c r="J12" s="14"/>
      <c r="K12" s="14"/>
      <c r="L12" s="14"/>
      <c r="M12" s="14"/>
      <c r="N12" s="76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 spans="1:28">
      <c r="A13" s="78"/>
      <c r="B13" s="14"/>
      <c r="C13" s="14"/>
      <c r="D13" s="14"/>
      <c r="E13" s="14"/>
      <c r="F13" s="14"/>
      <c r="G13" s="70"/>
      <c r="H13" s="70"/>
      <c r="I13" s="70"/>
      <c r="J13" s="14"/>
      <c r="K13" s="14"/>
      <c r="L13" s="14"/>
      <c r="M13" s="14"/>
      <c r="N13" s="76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spans="1:28">
      <c r="A14" s="7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70"/>
      <c r="N14" s="76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spans="1:28">
      <c r="A15" s="78"/>
      <c r="B15" s="25">
        <f>IF(C29="N/A","N/A",IF(L29="N/A","N/A",INDEX($B$63:$M$71,$R$64,1)))</f>
        <v>38</v>
      </c>
      <c r="C15" s="14"/>
      <c r="D15" s="14"/>
      <c r="E15" s="14"/>
      <c r="F15" s="25">
        <f>IF(F29="N/A","N/A",IF(L29="N/A","N/A",INDEX($B$63:$M$71,$R$64,6)))</f>
        <v>12</v>
      </c>
      <c r="G15" s="14"/>
      <c r="H15" s="84">
        <f>IF(C29="N/A","N/A",C76)</f>
        <v>37</v>
      </c>
      <c r="I15" s="14"/>
      <c r="J15" s="14"/>
      <c r="K15" s="14"/>
      <c r="L15" s="70"/>
      <c r="M15" s="58">
        <f>IF(F29="N/A","N/A",F77)</f>
        <v>33</v>
      </c>
      <c r="N15" s="76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spans="1:28">
      <c r="A16" s="82"/>
      <c r="B16" s="70"/>
      <c r="C16" s="14"/>
      <c r="D16" s="20" t="s">
        <v>13</v>
      </c>
      <c r="E16" s="14"/>
      <c r="F16" s="70"/>
      <c r="G16" s="20"/>
      <c r="H16" s="84"/>
      <c r="I16" s="14"/>
      <c r="J16" s="14"/>
      <c r="K16" s="14"/>
      <c r="L16" s="70"/>
      <c r="M16" s="58"/>
      <c r="N16" s="85"/>
      <c r="O16" s="25"/>
      <c r="P16" s="25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spans="1:28">
      <c r="A17" s="82"/>
      <c r="B17" s="25">
        <f>IF(C29="N/A","N/A",IF(F29="N/A","N/A",INDEX($B$63:$M$71,$R$64,2)))</f>
        <v>43</v>
      </c>
      <c r="C17" s="14"/>
      <c r="D17" s="14"/>
      <c r="E17" s="14"/>
      <c r="F17" s="25">
        <f>IF(F29="N/A","N/A",IF(C29="N/A","N/A",INDEX($B$63:$M$71,$R$64,5)))</f>
        <v>21</v>
      </c>
      <c r="G17" s="70"/>
      <c r="H17" s="70"/>
      <c r="I17" s="14"/>
      <c r="J17" s="14"/>
      <c r="K17" s="14"/>
      <c r="L17" s="70"/>
      <c r="M17" s="70"/>
      <c r="N17" s="86"/>
      <c r="O17" s="87"/>
      <c r="P17" s="87"/>
    </row>
    <row r="18" spans="1:28">
      <c r="A18" s="82"/>
      <c r="B18" s="14"/>
      <c r="C18" s="14"/>
      <c r="D18" s="88">
        <f>R63</f>
        <v>421</v>
      </c>
      <c r="E18" s="14"/>
      <c r="F18" s="14"/>
      <c r="G18" s="14"/>
      <c r="H18" s="14"/>
      <c r="I18" s="14"/>
      <c r="J18" s="14"/>
      <c r="K18" s="14"/>
      <c r="L18" s="70"/>
      <c r="M18" s="70"/>
      <c r="N18" s="76"/>
    </row>
    <row r="19" spans="1:28">
      <c r="A19" s="78"/>
      <c r="B19" s="25" t="str">
        <f>IF(C29="N/A","N/A",IF(I29="N/A","N/A",INDEX($B$63:$M$71,$R$64,3)))</f>
        <v/>
      </c>
      <c r="C19" s="14"/>
      <c r="D19" s="14"/>
      <c r="E19" s="14"/>
      <c r="F19" s="25" t="str">
        <f>IF(F29="N/A","N/A",IF(I29="N/A","N/A",INDEX($B$63:$M$71,$R$64,4)))</f>
        <v/>
      </c>
      <c r="G19" s="14"/>
      <c r="H19" s="84">
        <f>IF(C29="N/A","N/A",C77)</f>
        <v>81</v>
      </c>
      <c r="I19" s="14"/>
      <c r="J19" s="14"/>
      <c r="K19" s="14"/>
      <c r="L19" s="70"/>
      <c r="M19" s="58">
        <f>IF(F29="N/A","N/A",F78)</f>
        <v>45</v>
      </c>
      <c r="N19" s="76"/>
    </row>
    <row r="20" spans="1:28">
      <c r="A20" s="78"/>
      <c r="B20" s="70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76"/>
    </row>
    <row r="21" spans="1:28">
      <c r="A21" s="78"/>
      <c r="B21" s="14"/>
      <c r="C21" s="14"/>
      <c r="D21" s="14"/>
      <c r="E21" s="14"/>
      <c r="F21" s="14"/>
      <c r="G21" s="14"/>
      <c r="H21" s="14"/>
      <c r="I21" s="14"/>
      <c r="J21" s="14"/>
      <c r="K21" s="70"/>
      <c r="L21" s="70"/>
      <c r="M21" s="70"/>
      <c r="N21" s="76"/>
    </row>
    <row r="22" spans="1:28">
      <c r="A22" s="78"/>
      <c r="B22" s="14"/>
      <c r="C22" s="14"/>
      <c r="D22" s="14"/>
      <c r="E22" s="14"/>
      <c r="F22" s="14" t="str">
        <f>F29</f>
        <v>E. 5th Street</v>
      </c>
      <c r="G22" s="14"/>
      <c r="H22" s="14"/>
      <c r="I22" s="14"/>
      <c r="J22" s="14"/>
      <c r="K22" s="14"/>
      <c r="L22" s="24" t="s">
        <v>12</v>
      </c>
      <c r="M22" s="83">
        <f>IF(F29="N/A","N/A",F77/(S61*4))</f>
        <v>0.5892857142857143</v>
      </c>
      <c r="N22" s="86"/>
    </row>
    <row r="23" spans="1:28" ht="30" customHeight="1">
      <c r="A23" s="78"/>
      <c r="B23" s="14"/>
      <c r="C23" s="79">
        <f>IF(I29="N/A","N/A",IF(C29="N/A","N/A",INDEX($B$63:$M$71,$R$64,7)))</f>
        <v>16</v>
      </c>
      <c r="D23" s="23">
        <f>IF(I29="N/A","N/A",IF(L29="N/A","N/A",INDEX($B$63:$M$71,$R$64,8)))</f>
        <v>289</v>
      </c>
      <c r="E23" s="80">
        <f>IF(I29="N/A","N/A",IF(F29="N/A","N/A",INDEX($B$63:$M$71,$R$64,9)))</f>
        <v>2</v>
      </c>
      <c r="F23" s="70"/>
      <c r="G23" s="17"/>
      <c r="H23" s="14"/>
      <c r="I23" s="14"/>
      <c r="J23" s="89">
        <f>IF(I29="N/A","N/A",I76)</f>
        <v>0</v>
      </c>
      <c r="K23" s="89">
        <f>IF(I29="N/A","N/A",I77)</f>
        <v>307</v>
      </c>
      <c r="L23" s="70"/>
      <c r="M23" s="14"/>
      <c r="N23" s="76"/>
    </row>
    <row r="24" spans="1:28">
      <c r="A24" s="78"/>
      <c r="B24" s="14"/>
      <c r="C24" s="70"/>
      <c r="D24" s="70"/>
      <c r="E24" s="70"/>
      <c r="F24" s="14"/>
      <c r="G24" s="14"/>
      <c r="H24" s="14"/>
      <c r="I24" s="14"/>
      <c r="J24" s="14"/>
      <c r="K24" s="14"/>
      <c r="L24" s="70"/>
      <c r="M24" s="70"/>
      <c r="N24" s="76"/>
    </row>
    <row r="25" spans="1:28">
      <c r="A25" s="78"/>
      <c r="B25" s="14"/>
      <c r="C25" s="17"/>
      <c r="D25" s="20" t="str">
        <f>I29</f>
        <v>N. Center</v>
      </c>
      <c r="E25" s="17"/>
      <c r="F25" s="70"/>
      <c r="G25" s="70"/>
      <c r="H25" s="14"/>
      <c r="I25" s="14"/>
      <c r="J25" s="20" t="s">
        <v>12</v>
      </c>
      <c r="K25" s="77">
        <f>IF(I29="N/A","N/A",I77/(T61*4))</f>
        <v>0.85277777777777775</v>
      </c>
      <c r="L25" s="14"/>
      <c r="M25" s="14"/>
      <c r="N25" s="76"/>
    </row>
    <row r="26" spans="1:28">
      <c r="A26" s="78"/>
      <c r="B26" s="17"/>
      <c r="C26" s="17"/>
      <c r="D26" s="17"/>
      <c r="E26" s="14"/>
      <c r="F26" s="17"/>
      <c r="G26" s="90" t="s">
        <v>14</v>
      </c>
      <c r="H26" s="91"/>
      <c r="I26" s="70"/>
      <c r="J26" s="70"/>
      <c r="K26" s="70"/>
      <c r="L26" s="14"/>
      <c r="M26" s="14"/>
      <c r="N26" s="76"/>
    </row>
    <row r="27" spans="1:28">
      <c r="A27" s="78" t="s">
        <v>15</v>
      </c>
      <c r="B27" s="14"/>
      <c r="C27" s="14"/>
      <c r="D27" s="14"/>
      <c r="E27" s="14" t="s">
        <v>16</v>
      </c>
      <c r="F27" s="14"/>
      <c r="G27" s="14"/>
      <c r="H27" s="14"/>
      <c r="I27" s="14"/>
      <c r="J27" s="14"/>
      <c r="K27" s="14"/>
      <c r="L27" s="14"/>
      <c r="M27" s="14"/>
      <c r="N27" s="76"/>
    </row>
    <row r="28" spans="1:28" ht="16.5" thickBot="1">
      <c r="A28" s="26" t="s">
        <v>17</v>
      </c>
      <c r="B28" s="70"/>
      <c r="C28" s="83">
        <f>R63/(V61*4)</f>
        <v>0.82874015748031493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76"/>
    </row>
    <row r="29" spans="1:28" s="59" customFormat="1" ht="16.5" thickTop="1">
      <c r="A29" s="1"/>
      <c r="B29" s="27"/>
      <c r="C29" s="28" t="s">
        <v>51</v>
      </c>
      <c r="D29" s="29"/>
      <c r="E29" s="27"/>
      <c r="F29" s="28" t="s">
        <v>51</v>
      </c>
      <c r="G29" s="29"/>
      <c r="H29" s="27"/>
      <c r="I29" s="28" t="s">
        <v>52</v>
      </c>
      <c r="J29" s="29"/>
      <c r="K29" s="27"/>
      <c r="L29" s="28" t="s">
        <v>52</v>
      </c>
      <c r="M29" s="29"/>
      <c r="N29" s="30"/>
      <c r="O29" s="92"/>
      <c r="P29" s="92"/>
    </row>
    <row r="30" spans="1:28">
      <c r="A30" s="31"/>
      <c r="B30" s="32"/>
      <c r="C30" s="33" t="s">
        <v>18</v>
      </c>
      <c r="D30" s="33"/>
      <c r="E30" s="34"/>
      <c r="F30" s="33" t="s">
        <v>19</v>
      </c>
      <c r="G30" s="33"/>
      <c r="H30" s="34"/>
      <c r="I30" s="33" t="s">
        <v>20</v>
      </c>
      <c r="J30" s="33"/>
      <c r="K30" s="34"/>
      <c r="L30" s="33" t="s">
        <v>21</v>
      </c>
      <c r="M30" s="33"/>
      <c r="N30" s="35"/>
      <c r="O30" s="14"/>
      <c r="P30" s="14"/>
      <c r="AB30" s="20"/>
    </row>
    <row r="31" spans="1:28" ht="16.5" thickBot="1">
      <c r="A31" s="99" t="s">
        <v>22</v>
      </c>
      <c r="B31" s="36" t="s">
        <v>23</v>
      </c>
      <c r="C31" s="37" t="s">
        <v>24</v>
      </c>
      <c r="D31" s="37" t="s">
        <v>25</v>
      </c>
      <c r="E31" s="36" t="s">
        <v>23</v>
      </c>
      <c r="F31" s="37" t="s">
        <v>24</v>
      </c>
      <c r="G31" s="37" t="s">
        <v>25</v>
      </c>
      <c r="H31" s="36" t="s">
        <v>23</v>
      </c>
      <c r="I31" s="37" t="s">
        <v>24</v>
      </c>
      <c r="J31" s="37" t="s">
        <v>25</v>
      </c>
      <c r="K31" s="36" t="s">
        <v>23</v>
      </c>
      <c r="L31" s="37" t="s">
        <v>24</v>
      </c>
      <c r="M31" s="37" t="s">
        <v>25</v>
      </c>
      <c r="N31" s="38"/>
      <c r="O31" s="14"/>
      <c r="P31" s="14"/>
    </row>
    <row r="32" spans="1:28" ht="16.5" thickTop="1">
      <c r="A32" s="39" t="s">
        <v>26</v>
      </c>
      <c r="B32" s="40" t="s">
        <v>27</v>
      </c>
      <c r="C32" s="41" t="s">
        <v>28</v>
      </c>
      <c r="D32" s="41" t="s">
        <v>29</v>
      </c>
      <c r="E32" s="40" t="s">
        <v>30</v>
      </c>
      <c r="F32" s="41" t="s">
        <v>31</v>
      </c>
      <c r="G32" s="41" t="s">
        <v>32</v>
      </c>
      <c r="H32" s="40" t="s">
        <v>33</v>
      </c>
      <c r="I32" s="41" t="s">
        <v>34</v>
      </c>
      <c r="J32" s="41" t="s">
        <v>35</v>
      </c>
      <c r="K32" s="40" t="s">
        <v>36</v>
      </c>
      <c r="L32" s="41" t="s">
        <v>37</v>
      </c>
      <c r="M32" s="41" t="s">
        <v>38</v>
      </c>
      <c r="N32" s="42" t="s">
        <v>13</v>
      </c>
      <c r="O32" s="41"/>
      <c r="P32" s="41"/>
    </row>
    <row r="33" spans="1:28">
      <c r="A33" s="43">
        <v>0.30208333333333298</v>
      </c>
      <c r="B33" s="44">
        <v>11</v>
      </c>
      <c r="C33" s="45">
        <v>4</v>
      </c>
      <c r="D33" s="45"/>
      <c r="E33" s="44"/>
      <c r="F33" s="45">
        <v>5</v>
      </c>
      <c r="G33" s="45">
        <v>0</v>
      </c>
      <c r="H33" s="44">
        <v>3</v>
      </c>
      <c r="I33" s="45">
        <v>30</v>
      </c>
      <c r="J33" s="45">
        <v>1</v>
      </c>
      <c r="K33" s="46"/>
      <c r="L33" s="45"/>
      <c r="M33" s="45"/>
      <c r="N33" s="47">
        <f t="shared" ref="N33:N40" si="0">IF(SUM(B33:M33)&lt;=0,"",SUM(B33:M33))</f>
        <v>54</v>
      </c>
      <c r="O33" s="20"/>
      <c r="P33" s="20"/>
      <c r="Q33" s="93"/>
    </row>
    <row r="34" spans="1:28">
      <c r="A34" s="43">
        <v>0.3125</v>
      </c>
      <c r="B34" s="44">
        <v>21</v>
      </c>
      <c r="C34" s="45">
        <v>10</v>
      </c>
      <c r="D34" s="45"/>
      <c r="E34" s="44"/>
      <c r="F34" s="45">
        <v>9</v>
      </c>
      <c r="G34" s="45">
        <v>4</v>
      </c>
      <c r="H34" s="44">
        <v>3</v>
      </c>
      <c r="I34" s="45">
        <v>80</v>
      </c>
      <c r="J34" s="45">
        <v>2</v>
      </c>
      <c r="K34" s="46"/>
      <c r="L34" s="45"/>
      <c r="M34" s="45"/>
      <c r="N34" s="47">
        <f t="shared" si="0"/>
        <v>129</v>
      </c>
      <c r="O34" s="20"/>
      <c r="P34" s="20"/>
      <c r="Q34" s="93"/>
    </row>
    <row r="35" spans="1:28">
      <c r="A35" s="43">
        <v>0.32291666666666702</v>
      </c>
      <c r="B35" s="44">
        <v>27</v>
      </c>
      <c r="C35" s="45">
        <v>19</v>
      </c>
      <c r="D35" s="45"/>
      <c r="E35" s="44"/>
      <c r="F35" s="45">
        <v>10</v>
      </c>
      <c r="G35" s="45">
        <v>6</v>
      </c>
      <c r="H35" s="44">
        <v>3</v>
      </c>
      <c r="I35" s="45">
        <v>146</v>
      </c>
      <c r="J35" s="45">
        <v>5</v>
      </c>
      <c r="K35" s="46"/>
      <c r="L35" s="45"/>
      <c r="M35" s="45"/>
      <c r="N35" s="47">
        <f t="shared" si="0"/>
        <v>216</v>
      </c>
      <c r="O35" s="20"/>
      <c r="P35" s="20"/>
      <c r="Q35" s="93"/>
    </row>
    <row r="36" spans="1:28" s="59" customFormat="1">
      <c r="A36" s="43">
        <v>0.33333333333333398</v>
      </c>
      <c r="B36" s="44">
        <v>36</v>
      </c>
      <c r="C36" s="45">
        <v>33</v>
      </c>
      <c r="D36" s="45"/>
      <c r="E36" s="44"/>
      <c r="F36" s="45">
        <v>19</v>
      </c>
      <c r="G36" s="45">
        <v>11</v>
      </c>
      <c r="H36" s="44">
        <v>8</v>
      </c>
      <c r="I36" s="45">
        <v>231</v>
      </c>
      <c r="J36" s="45">
        <v>5</v>
      </c>
      <c r="K36" s="46"/>
      <c r="L36" s="45"/>
      <c r="M36" s="45"/>
      <c r="N36" s="47">
        <f t="shared" si="0"/>
        <v>343</v>
      </c>
      <c r="O36" s="20"/>
      <c r="P36" s="20"/>
      <c r="Q36" s="93"/>
      <c r="R36" s="19"/>
      <c r="S36" s="19"/>
      <c r="T36" s="19"/>
      <c r="U36" s="19"/>
      <c r="V36" s="19"/>
      <c r="W36" s="19"/>
      <c r="AB36" s="19"/>
    </row>
    <row r="37" spans="1:28">
      <c r="A37" s="43">
        <v>0.343750000000001</v>
      </c>
      <c r="B37" s="44">
        <v>43</v>
      </c>
      <c r="C37" s="45">
        <v>45</v>
      </c>
      <c r="D37" s="45"/>
      <c r="E37" s="44"/>
      <c r="F37" s="45">
        <v>19</v>
      </c>
      <c r="G37" s="45">
        <v>12</v>
      </c>
      <c r="H37" s="44">
        <v>12</v>
      </c>
      <c r="I37" s="45">
        <v>304</v>
      </c>
      <c r="J37" s="45">
        <v>6</v>
      </c>
      <c r="K37" s="46"/>
      <c r="L37" s="45"/>
      <c r="M37" s="45"/>
      <c r="N37" s="47">
        <f t="shared" si="0"/>
        <v>441</v>
      </c>
      <c r="O37" s="20"/>
      <c r="P37" s="20"/>
      <c r="Q37" s="93"/>
    </row>
    <row r="38" spans="1:28">
      <c r="A38" s="43">
        <v>0.35416666666666802</v>
      </c>
      <c r="B38" s="44">
        <v>53</v>
      </c>
      <c r="C38" s="45">
        <v>51</v>
      </c>
      <c r="D38" s="45"/>
      <c r="E38" s="44"/>
      <c r="F38" s="45">
        <v>26</v>
      </c>
      <c r="G38" s="45">
        <v>14</v>
      </c>
      <c r="H38" s="44">
        <v>16</v>
      </c>
      <c r="I38" s="45">
        <v>371</v>
      </c>
      <c r="J38" s="45">
        <v>6</v>
      </c>
      <c r="K38" s="46"/>
      <c r="L38" s="45"/>
      <c r="M38" s="45"/>
      <c r="N38" s="47">
        <f t="shared" si="0"/>
        <v>537</v>
      </c>
      <c r="O38" s="20"/>
      <c r="P38" s="20"/>
      <c r="Q38" s="93"/>
    </row>
    <row r="39" spans="1:28">
      <c r="A39" s="43">
        <v>0.36458333333333498</v>
      </c>
      <c r="B39" s="44">
        <v>65</v>
      </c>
      <c r="C39" s="45">
        <v>62</v>
      </c>
      <c r="D39" s="45"/>
      <c r="E39" s="44"/>
      <c r="F39" s="45">
        <v>31</v>
      </c>
      <c r="G39" s="45">
        <v>18</v>
      </c>
      <c r="H39" s="44">
        <v>19</v>
      </c>
      <c r="I39" s="45">
        <v>435</v>
      </c>
      <c r="J39" s="45">
        <v>7</v>
      </c>
      <c r="K39" s="46"/>
      <c r="L39" s="45"/>
      <c r="M39" s="45"/>
      <c r="N39" s="47">
        <f t="shared" si="0"/>
        <v>637</v>
      </c>
      <c r="O39" s="20"/>
      <c r="P39" s="20"/>
      <c r="Q39" s="93"/>
    </row>
    <row r="40" spans="1:28">
      <c r="A40" s="43">
        <v>0.375000000000002</v>
      </c>
      <c r="B40" s="44">
        <v>76</v>
      </c>
      <c r="C40" s="45">
        <v>74</v>
      </c>
      <c r="D40" s="45"/>
      <c r="E40" s="44"/>
      <c r="F40" s="45">
        <v>36</v>
      </c>
      <c r="G40" s="45">
        <v>21</v>
      </c>
      <c r="H40" s="44">
        <v>25</v>
      </c>
      <c r="I40" s="45">
        <v>511</v>
      </c>
      <c r="J40" s="45">
        <v>7</v>
      </c>
      <c r="K40" s="46"/>
      <c r="L40" s="45"/>
      <c r="M40" s="45"/>
      <c r="N40" s="47">
        <f t="shared" si="0"/>
        <v>750</v>
      </c>
      <c r="O40" s="20"/>
      <c r="P40" s="20"/>
      <c r="Q40" s="93"/>
    </row>
    <row r="41" spans="1:28">
      <c r="A41" s="43"/>
      <c r="B41" s="48"/>
      <c r="C41" s="20"/>
      <c r="D41" s="20"/>
      <c r="E41" s="48"/>
      <c r="F41" s="20"/>
      <c r="G41" s="20"/>
      <c r="H41" s="48"/>
      <c r="I41" s="20"/>
      <c r="J41" s="20"/>
      <c r="K41" s="49"/>
      <c r="L41" s="20"/>
      <c r="M41" s="20"/>
      <c r="N41" s="47"/>
      <c r="O41" s="20"/>
      <c r="P41" s="20"/>
      <c r="Q41" s="93"/>
    </row>
    <row r="42" spans="1:28">
      <c r="A42" s="43"/>
      <c r="B42" s="48"/>
      <c r="C42" s="20"/>
      <c r="D42" s="20"/>
      <c r="E42" s="48"/>
      <c r="F42" s="20"/>
      <c r="G42" s="20"/>
      <c r="H42" s="48"/>
      <c r="I42" s="20"/>
      <c r="J42" s="20"/>
      <c r="K42" s="49"/>
      <c r="L42" s="20"/>
      <c r="M42" s="20"/>
      <c r="N42" s="47"/>
      <c r="O42" s="20"/>
      <c r="P42" s="20"/>
      <c r="Q42" s="93"/>
    </row>
    <row r="43" spans="1:28">
      <c r="A43" s="43"/>
      <c r="B43" s="48"/>
      <c r="C43" s="20"/>
      <c r="D43" s="20"/>
      <c r="E43" s="48"/>
      <c r="F43" s="20"/>
      <c r="G43" s="20"/>
      <c r="H43" s="48"/>
      <c r="I43" s="20"/>
      <c r="J43" s="20"/>
      <c r="K43" s="49"/>
      <c r="L43" s="20"/>
      <c r="M43" s="20"/>
      <c r="N43" s="47"/>
      <c r="O43" s="20"/>
      <c r="P43" s="20"/>
      <c r="Q43" s="93"/>
    </row>
    <row r="44" spans="1:28">
      <c r="A44" s="43"/>
      <c r="B44" s="48"/>
      <c r="C44" s="20"/>
      <c r="D44" s="20"/>
      <c r="E44" s="48"/>
      <c r="F44" s="20"/>
      <c r="G44" s="20"/>
      <c r="H44" s="48"/>
      <c r="I44" s="20"/>
      <c r="J44" s="20"/>
      <c r="K44" s="49"/>
      <c r="L44" s="20"/>
      <c r="M44" s="20"/>
      <c r="N44" s="47"/>
      <c r="O44" s="20"/>
      <c r="P44" s="20"/>
      <c r="Q44" s="93"/>
    </row>
    <row r="45" spans="1:28">
      <c r="A45" s="50"/>
      <c r="B45" s="48"/>
      <c r="C45" s="20"/>
      <c r="D45" s="20"/>
      <c r="E45" s="48"/>
      <c r="F45" s="20"/>
      <c r="G45" s="20"/>
      <c r="H45" s="48"/>
      <c r="I45" s="20"/>
      <c r="J45" s="20" t="s">
        <v>2</v>
      </c>
      <c r="K45" s="49" t="s">
        <v>2</v>
      </c>
      <c r="L45" s="20"/>
      <c r="M45" s="20"/>
      <c r="N45" s="47"/>
      <c r="O45" s="14"/>
      <c r="P45" s="14"/>
    </row>
    <row r="46" spans="1:28" ht="16.5" thickBot="1">
      <c r="A46" s="100" t="s">
        <v>39</v>
      </c>
      <c r="B46" s="51"/>
      <c r="C46" s="52"/>
      <c r="D46" s="52"/>
      <c r="E46" s="51"/>
      <c r="F46" s="52"/>
      <c r="G46" s="52"/>
      <c r="H46" s="51"/>
      <c r="I46" s="52"/>
      <c r="J46" s="52"/>
      <c r="K46" s="51" t="s">
        <v>2</v>
      </c>
      <c r="L46" s="52" t="s">
        <v>2</v>
      </c>
      <c r="M46" s="52"/>
      <c r="N46" s="53"/>
      <c r="O46" s="14"/>
      <c r="P46" s="14"/>
      <c r="R46" s="63" t="s">
        <v>40</v>
      </c>
      <c r="S46" s="63"/>
      <c r="T46" s="63"/>
      <c r="U46" s="63"/>
    </row>
    <row r="47" spans="1:28" ht="16.5" thickTop="1">
      <c r="A47" s="39" t="s">
        <v>26</v>
      </c>
      <c r="B47" s="40" t="s">
        <v>27</v>
      </c>
      <c r="C47" s="41" t="s">
        <v>28</v>
      </c>
      <c r="D47" s="41" t="s">
        <v>29</v>
      </c>
      <c r="E47" s="40" t="s">
        <v>30</v>
      </c>
      <c r="F47" s="41" t="s">
        <v>31</v>
      </c>
      <c r="G47" s="41" t="s">
        <v>32</v>
      </c>
      <c r="H47" s="40" t="s">
        <v>33</v>
      </c>
      <c r="I47" s="41" t="s">
        <v>34</v>
      </c>
      <c r="J47" s="41" t="s">
        <v>35</v>
      </c>
      <c r="K47" s="40" t="s">
        <v>36</v>
      </c>
      <c r="L47" s="41" t="s">
        <v>37</v>
      </c>
      <c r="M47" s="41" t="s">
        <v>38</v>
      </c>
      <c r="N47" s="42" t="s">
        <v>13</v>
      </c>
      <c r="O47" s="41"/>
      <c r="P47" s="41"/>
      <c r="Q47" s="93">
        <f>Q48-15/(60*24)</f>
        <v>0.2916666666666663</v>
      </c>
      <c r="R47" s="25" t="s">
        <v>41</v>
      </c>
      <c r="S47" s="25" t="s">
        <v>42</v>
      </c>
      <c r="T47" s="25" t="s">
        <v>43</v>
      </c>
      <c r="U47" s="25" t="s">
        <v>44</v>
      </c>
      <c r="V47" s="63" t="s">
        <v>45</v>
      </c>
    </row>
    <row r="48" spans="1:28">
      <c r="A48" s="43">
        <f>A33</f>
        <v>0.30208333333333298</v>
      </c>
      <c r="B48" s="48">
        <f>IF(B33="","",B33)</f>
        <v>11</v>
      </c>
      <c r="C48" s="20">
        <f>IF(C33="","",C33)</f>
        <v>4</v>
      </c>
      <c r="D48" s="20" t="str">
        <f>IF(D33="","",D33)</f>
        <v/>
      </c>
      <c r="E48" s="48" t="str">
        <f t="shared" ref="E48:M48" si="1">IF(E33="","",E33)</f>
        <v/>
      </c>
      <c r="F48" s="20">
        <f t="shared" si="1"/>
        <v>5</v>
      </c>
      <c r="G48" s="20">
        <f t="shared" si="1"/>
        <v>0</v>
      </c>
      <c r="H48" s="48">
        <f t="shared" si="1"/>
        <v>3</v>
      </c>
      <c r="I48" s="20">
        <f t="shared" si="1"/>
        <v>30</v>
      </c>
      <c r="J48" s="20">
        <f t="shared" si="1"/>
        <v>1</v>
      </c>
      <c r="K48" s="48" t="str">
        <f t="shared" si="1"/>
        <v/>
      </c>
      <c r="L48" s="20" t="str">
        <f t="shared" si="1"/>
        <v/>
      </c>
      <c r="M48" s="20" t="str">
        <f t="shared" si="1"/>
        <v/>
      </c>
      <c r="N48" s="47">
        <f t="shared" ref="N48:N58" si="2">IF(SUM(B48:M48)&lt;=0,"",SUM(B48:M48))</f>
        <v>54</v>
      </c>
      <c r="O48" s="20"/>
      <c r="P48" s="20"/>
      <c r="Q48" s="93">
        <f t="shared" ref="Q48:Q59" si="3">$A48</f>
        <v>0.30208333333333298</v>
      </c>
      <c r="R48" s="25">
        <f t="shared" ref="R48:R59" si="4">SUM(B48:D48)</f>
        <v>15</v>
      </c>
      <c r="S48" s="25">
        <f t="shared" ref="S48:S59" si="5">SUM(E48:G48)</f>
        <v>5</v>
      </c>
      <c r="T48" s="25">
        <f t="shared" ref="T48:T59" si="6">SUM(H48:J48)</f>
        <v>34</v>
      </c>
      <c r="U48" s="25">
        <f t="shared" ref="U48:U59" si="7">SUM(K48:M48)</f>
        <v>0</v>
      </c>
      <c r="V48" s="25">
        <f t="shared" ref="V48:V59" si="8">SUM(R48:U48)</f>
        <v>54</v>
      </c>
      <c r="W48" s="94">
        <f>MATCH(S64,Q47:Q59,0)</f>
        <v>4</v>
      </c>
    </row>
    <row r="49" spans="1:23">
      <c r="A49" s="43">
        <f>IF(A34="","",A48+15/1440)</f>
        <v>0.31249999999999967</v>
      </c>
      <c r="B49" s="48">
        <f>IF(B34="","",B34)</f>
        <v>21</v>
      </c>
      <c r="C49" s="20">
        <f t="shared" ref="B49:M59" si="9">IF(C34="","",C34-C33)</f>
        <v>6</v>
      </c>
      <c r="D49" s="20" t="str">
        <f t="shared" si="9"/>
        <v/>
      </c>
      <c r="E49" s="48" t="str">
        <f t="shared" si="9"/>
        <v/>
      </c>
      <c r="F49" s="20">
        <f t="shared" si="9"/>
        <v>4</v>
      </c>
      <c r="G49" s="20">
        <f t="shared" si="9"/>
        <v>4</v>
      </c>
      <c r="H49" s="48">
        <f t="shared" si="9"/>
        <v>0</v>
      </c>
      <c r="I49" s="20">
        <f t="shared" si="9"/>
        <v>50</v>
      </c>
      <c r="J49" s="20">
        <f t="shared" si="9"/>
        <v>1</v>
      </c>
      <c r="K49" s="48" t="str">
        <f t="shared" si="9"/>
        <v/>
      </c>
      <c r="L49" s="20" t="str">
        <f t="shared" si="9"/>
        <v/>
      </c>
      <c r="M49" s="20" t="str">
        <f t="shared" si="9"/>
        <v/>
      </c>
      <c r="N49" s="47">
        <f t="shared" si="2"/>
        <v>86</v>
      </c>
      <c r="O49" s="20"/>
      <c r="P49" s="20"/>
      <c r="Q49" s="93">
        <f t="shared" si="3"/>
        <v>0.31249999999999967</v>
      </c>
      <c r="R49" s="25">
        <f t="shared" si="4"/>
        <v>27</v>
      </c>
      <c r="S49" s="25">
        <f t="shared" si="5"/>
        <v>8</v>
      </c>
      <c r="T49" s="25">
        <f t="shared" si="6"/>
        <v>51</v>
      </c>
      <c r="U49" s="25">
        <f t="shared" si="7"/>
        <v>0</v>
      </c>
      <c r="V49" s="25">
        <f t="shared" si="8"/>
        <v>86</v>
      </c>
      <c r="W49" s="94">
        <f>W48+1</f>
        <v>5</v>
      </c>
    </row>
    <row r="50" spans="1:23">
      <c r="A50" s="43">
        <f t="shared" ref="A50:A59" si="10">IF(A35="","",A49+15/1440)</f>
        <v>0.32291666666666635</v>
      </c>
      <c r="B50" s="48">
        <f t="shared" si="9"/>
        <v>6</v>
      </c>
      <c r="C50" s="20">
        <f t="shared" si="9"/>
        <v>9</v>
      </c>
      <c r="D50" s="20" t="str">
        <f t="shared" si="9"/>
        <v/>
      </c>
      <c r="E50" s="48" t="str">
        <f t="shared" si="9"/>
        <v/>
      </c>
      <c r="F50" s="20">
        <f t="shared" si="9"/>
        <v>1</v>
      </c>
      <c r="G50" s="20">
        <f t="shared" si="9"/>
        <v>2</v>
      </c>
      <c r="H50" s="48">
        <f t="shared" si="9"/>
        <v>0</v>
      </c>
      <c r="I50" s="20">
        <f t="shared" si="9"/>
        <v>66</v>
      </c>
      <c r="J50" s="20">
        <f t="shared" si="9"/>
        <v>3</v>
      </c>
      <c r="K50" s="48" t="str">
        <f t="shared" si="9"/>
        <v/>
      </c>
      <c r="L50" s="20" t="str">
        <f t="shared" si="9"/>
        <v/>
      </c>
      <c r="M50" s="20" t="str">
        <f t="shared" si="9"/>
        <v/>
      </c>
      <c r="N50" s="47">
        <f t="shared" si="2"/>
        <v>87</v>
      </c>
      <c r="O50" s="20"/>
      <c r="P50" s="20"/>
      <c r="Q50" s="93">
        <f t="shared" si="3"/>
        <v>0.32291666666666635</v>
      </c>
      <c r="R50" s="25">
        <f t="shared" si="4"/>
        <v>15</v>
      </c>
      <c r="S50" s="25">
        <f t="shared" si="5"/>
        <v>3</v>
      </c>
      <c r="T50" s="25">
        <f t="shared" si="6"/>
        <v>69</v>
      </c>
      <c r="U50" s="25">
        <f t="shared" si="7"/>
        <v>0</v>
      </c>
      <c r="V50" s="25">
        <f t="shared" si="8"/>
        <v>87</v>
      </c>
      <c r="W50" s="94">
        <f>W49+1</f>
        <v>6</v>
      </c>
    </row>
    <row r="51" spans="1:23">
      <c r="A51" s="43">
        <f t="shared" si="10"/>
        <v>0.33333333333333304</v>
      </c>
      <c r="B51" s="48">
        <f t="shared" si="9"/>
        <v>9</v>
      </c>
      <c r="C51" s="20">
        <f t="shared" si="9"/>
        <v>14</v>
      </c>
      <c r="D51" s="20" t="str">
        <f t="shared" si="9"/>
        <v/>
      </c>
      <c r="E51" s="48" t="str">
        <f t="shared" si="9"/>
        <v/>
      </c>
      <c r="F51" s="20">
        <f t="shared" si="9"/>
        <v>9</v>
      </c>
      <c r="G51" s="20">
        <f t="shared" si="9"/>
        <v>5</v>
      </c>
      <c r="H51" s="48">
        <f t="shared" si="9"/>
        <v>5</v>
      </c>
      <c r="I51" s="20">
        <f t="shared" si="9"/>
        <v>85</v>
      </c>
      <c r="J51" s="20">
        <f t="shared" si="9"/>
        <v>0</v>
      </c>
      <c r="K51" s="48" t="str">
        <f t="shared" si="9"/>
        <v/>
      </c>
      <c r="L51" s="20" t="str">
        <f t="shared" si="9"/>
        <v/>
      </c>
      <c r="M51" s="20" t="str">
        <f t="shared" si="9"/>
        <v/>
      </c>
      <c r="N51" s="47">
        <f t="shared" si="2"/>
        <v>127</v>
      </c>
      <c r="O51" s="20"/>
      <c r="P51" s="20"/>
      <c r="Q51" s="93">
        <f t="shared" si="3"/>
        <v>0.33333333333333304</v>
      </c>
      <c r="R51" s="25">
        <f t="shared" si="4"/>
        <v>23</v>
      </c>
      <c r="S51" s="25">
        <f t="shared" si="5"/>
        <v>14</v>
      </c>
      <c r="T51" s="25">
        <f t="shared" si="6"/>
        <v>90</v>
      </c>
      <c r="U51" s="25">
        <f t="shared" si="7"/>
        <v>0</v>
      </c>
      <c r="V51" s="25">
        <f t="shared" si="8"/>
        <v>127</v>
      </c>
      <c r="W51" s="94">
        <f>W50+1</f>
        <v>7</v>
      </c>
    </row>
    <row r="52" spans="1:23">
      <c r="A52" s="43">
        <f t="shared" si="10"/>
        <v>0.34374999999999972</v>
      </c>
      <c r="B52" s="48">
        <f t="shared" si="9"/>
        <v>7</v>
      </c>
      <c r="C52" s="20">
        <f t="shared" si="9"/>
        <v>12</v>
      </c>
      <c r="D52" s="20" t="str">
        <f t="shared" si="9"/>
        <v/>
      </c>
      <c r="E52" s="48" t="str">
        <f t="shared" si="9"/>
        <v/>
      </c>
      <c r="F52" s="20">
        <f t="shared" si="9"/>
        <v>0</v>
      </c>
      <c r="G52" s="20">
        <f t="shared" si="9"/>
        <v>1</v>
      </c>
      <c r="H52" s="48">
        <f t="shared" si="9"/>
        <v>4</v>
      </c>
      <c r="I52" s="20">
        <f t="shared" si="9"/>
        <v>73</v>
      </c>
      <c r="J52" s="20">
        <f t="shared" si="9"/>
        <v>1</v>
      </c>
      <c r="K52" s="48" t="str">
        <f t="shared" si="9"/>
        <v/>
      </c>
      <c r="L52" s="20" t="str">
        <f t="shared" si="9"/>
        <v/>
      </c>
      <c r="M52" s="20" t="str">
        <f t="shared" si="9"/>
        <v/>
      </c>
      <c r="N52" s="47">
        <f t="shared" si="2"/>
        <v>98</v>
      </c>
      <c r="O52" s="20"/>
      <c r="P52" s="20"/>
      <c r="Q52" s="93">
        <f t="shared" si="3"/>
        <v>0.34374999999999972</v>
      </c>
      <c r="R52" s="25">
        <f t="shared" si="4"/>
        <v>19</v>
      </c>
      <c r="S52" s="25">
        <f t="shared" si="5"/>
        <v>1</v>
      </c>
      <c r="T52" s="25">
        <f t="shared" si="6"/>
        <v>78</v>
      </c>
      <c r="U52" s="25">
        <f t="shared" si="7"/>
        <v>0</v>
      </c>
      <c r="V52" s="25">
        <f t="shared" si="8"/>
        <v>98</v>
      </c>
    </row>
    <row r="53" spans="1:23">
      <c r="A53" s="43">
        <f t="shared" si="10"/>
        <v>0.35416666666666641</v>
      </c>
      <c r="B53" s="48">
        <f t="shared" si="9"/>
        <v>10</v>
      </c>
      <c r="C53" s="20">
        <f t="shared" si="9"/>
        <v>6</v>
      </c>
      <c r="D53" s="20" t="str">
        <f t="shared" si="9"/>
        <v/>
      </c>
      <c r="E53" s="48" t="str">
        <f t="shared" si="9"/>
        <v/>
      </c>
      <c r="F53" s="20">
        <f t="shared" si="9"/>
        <v>7</v>
      </c>
      <c r="G53" s="20">
        <f t="shared" si="9"/>
        <v>2</v>
      </c>
      <c r="H53" s="48">
        <f t="shared" si="9"/>
        <v>4</v>
      </c>
      <c r="I53" s="20">
        <f t="shared" si="9"/>
        <v>67</v>
      </c>
      <c r="J53" s="20">
        <f t="shared" si="9"/>
        <v>0</v>
      </c>
      <c r="K53" s="48" t="str">
        <f t="shared" si="9"/>
        <v/>
      </c>
      <c r="L53" s="20" t="str">
        <f t="shared" si="9"/>
        <v/>
      </c>
      <c r="M53" s="20" t="str">
        <f t="shared" si="9"/>
        <v/>
      </c>
      <c r="N53" s="47">
        <f t="shared" si="2"/>
        <v>96</v>
      </c>
      <c r="O53" s="20"/>
      <c r="P53" s="20"/>
      <c r="Q53" s="93">
        <f t="shared" si="3"/>
        <v>0.35416666666666641</v>
      </c>
      <c r="R53" s="25">
        <f t="shared" si="4"/>
        <v>16</v>
      </c>
      <c r="S53" s="25">
        <f t="shared" si="5"/>
        <v>9</v>
      </c>
      <c r="T53" s="25">
        <f t="shared" si="6"/>
        <v>71</v>
      </c>
      <c r="U53" s="25">
        <f t="shared" si="7"/>
        <v>0</v>
      </c>
      <c r="V53" s="25">
        <f t="shared" si="8"/>
        <v>96</v>
      </c>
    </row>
    <row r="54" spans="1:23">
      <c r="A54" s="43">
        <f t="shared" si="10"/>
        <v>0.36458333333333309</v>
      </c>
      <c r="B54" s="48">
        <f t="shared" si="9"/>
        <v>12</v>
      </c>
      <c r="C54" s="20">
        <f t="shared" si="9"/>
        <v>11</v>
      </c>
      <c r="D54" s="20" t="str">
        <f t="shared" si="9"/>
        <v/>
      </c>
      <c r="E54" s="48" t="str">
        <f t="shared" si="9"/>
        <v/>
      </c>
      <c r="F54" s="20">
        <f t="shared" si="9"/>
        <v>5</v>
      </c>
      <c r="G54" s="20">
        <f t="shared" si="9"/>
        <v>4</v>
      </c>
      <c r="H54" s="48">
        <f t="shared" si="9"/>
        <v>3</v>
      </c>
      <c r="I54" s="20">
        <f t="shared" si="9"/>
        <v>64</v>
      </c>
      <c r="J54" s="20">
        <f t="shared" si="9"/>
        <v>1</v>
      </c>
      <c r="K54" s="48" t="str">
        <f t="shared" si="9"/>
        <v/>
      </c>
      <c r="L54" s="20" t="str">
        <f t="shared" si="9"/>
        <v/>
      </c>
      <c r="M54" s="20" t="str">
        <f t="shared" si="9"/>
        <v/>
      </c>
      <c r="N54" s="47">
        <f t="shared" si="2"/>
        <v>100</v>
      </c>
      <c r="O54" s="20"/>
      <c r="P54" s="20"/>
      <c r="Q54" s="93">
        <f t="shared" si="3"/>
        <v>0.36458333333333309</v>
      </c>
      <c r="R54" s="25">
        <f t="shared" si="4"/>
        <v>23</v>
      </c>
      <c r="S54" s="25">
        <f t="shared" si="5"/>
        <v>9</v>
      </c>
      <c r="T54" s="25">
        <f t="shared" si="6"/>
        <v>68</v>
      </c>
      <c r="U54" s="25">
        <f t="shared" si="7"/>
        <v>0</v>
      </c>
      <c r="V54" s="25">
        <f t="shared" si="8"/>
        <v>100</v>
      </c>
    </row>
    <row r="55" spans="1:23">
      <c r="A55" s="43">
        <f t="shared" si="10"/>
        <v>0.37499999999999978</v>
      </c>
      <c r="B55" s="48">
        <f t="shared" si="9"/>
        <v>11</v>
      </c>
      <c r="C55" s="20">
        <f t="shared" si="9"/>
        <v>12</v>
      </c>
      <c r="D55" s="20" t="str">
        <f t="shared" si="9"/>
        <v/>
      </c>
      <c r="E55" s="48" t="str">
        <f t="shared" si="9"/>
        <v/>
      </c>
      <c r="F55" s="20">
        <f t="shared" si="9"/>
        <v>5</v>
      </c>
      <c r="G55" s="20">
        <f t="shared" si="9"/>
        <v>3</v>
      </c>
      <c r="H55" s="48">
        <f t="shared" si="9"/>
        <v>6</v>
      </c>
      <c r="I55" s="20">
        <f t="shared" si="9"/>
        <v>76</v>
      </c>
      <c r="J55" s="20">
        <f t="shared" si="9"/>
        <v>0</v>
      </c>
      <c r="K55" s="48" t="str">
        <f t="shared" si="9"/>
        <v/>
      </c>
      <c r="L55" s="20" t="str">
        <f t="shared" si="9"/>
        <v/>
      </c>
      <c r="M55" s="20" t="str">
        <f t="shared" si="9"/>
        <v/>
      </c>
      <c r="N55" s="47">
        <f t="shared" si="2"/>
        <v>113</v>
      </c>
      <c r="O55" s="20"/>
      <c r="P55" s="20"/>
      <c r="Q55" s="93">
        <f t="shared" si="3"/>
        <v>0.37499999999999978</v>
      </c>
      <c r="R55" s="25">
        <f t="shared" si="4"/>
        <v>23</v>
      </c>
      <c r="S55" s="25">
        <f t="shared" si="5"/>
        <v>8</v>
      </c>
      <c r="T55" s="25">
        <f t="shared" si="6"/>
        <v>82</v>
      </c>
      <c r="U55" s="25">
        <f t="shared" si="7"/>
        <v>0</v>
      </c>
      <c r="V55" s="25">
        <f t="shared" si="8"/>
        <v>113</v>
      </c>
    </row>
    <row r="56" spans="1:23">
      <c r="A56" s="43" t="str">
        <f t="shared" si="10"/>
        <v/>
      </c>
      <c r="B56" s="48" t="str">
        <f t="shared" si="9"/>
        <v/>
      </c>
      <c r="C56" s="20" t="str">
        <f t="shared" si="9"/>
        <v/>
      </c>
      <c r="D56" s="20" t="str">
        <f t="shared" si="9"/>
        <v/>
      </c>
      <c r="E56" s="48" t="str">
        <f t="shared" si="9"/>
        <v/>
      </c>
      <c r="F56" s="20" t="str">
        <f t="shared" si="9"/>
        <v/>
      </c>
      <c r="G56" s="20" t="str">
        <f t="shared" si="9"/>
        <v/>
      </c>
      <c r="H56" s="48" t="str">
        <f t="shared" si="9"/>
        <v/>
      </c>
      <c r="I56" s="20" t="str">
        <f t="shared" si="9"/>
        <v/>
      </c>
      <c r="J56" s="20" t="str">
        <f t="shared" si="9"/>
        <v/>
      </c>
      <c r="K56" s="48" t="str">
        <f t="shared" si="9"/>
        <v/>
      </c>
      <c r="L56" s="20" t="str">
        <f t="shared" si="9"/>
        <v/>
      </c>
      <c r="M56" s="20" t="str">
        <f t="shared" si="9"/>
        <v/>
      </c>
      <c r="N56" s="47" t="str">
        <f t="shared" si="2"/>
        <v/>
      </c>
      <c r="O56" s="20"/>
      <c r="P56" s="20"/>
      <c r="Q56" s="93" t="str">
        <f t="shared" si="3"/>
        <v/>
      </c>
      <c r="R56" s="25">
        <f t="shared" si="4"/>
        <v>0</v>
      </c>
      <c r="S56" s="25">
        <f t="shared" si="5"/>
        <v>0</v>
      </c>
      <c r="T56" s="25">
        <f t="shared" si="6"/>
        <v>0</v>
      </c>
      <c r="U56" s="25">
        <f t="shared" si="7"/>
        <v>0</v>
      </c>
      <c r="V56" s="25">
        <f t="shared" si="8"/>
        <v>0</v>
      </c>
    </row>
    <row r="57" spans="1:23">
      <c r="A57" s="43" t="str">
        <f t="shared" si="10"/>
        <v/>
      </c>
      <c r="B57" s="48" t="str">
        <f t="shared" si="9"/>
        <v/>
      </c>
      <c r="C57" s="20" t="str">
        <f t="shared" si="9"/>
        <v/>
      </c>
      <c r="D57" s="20" t="str">
        <f t="shared" si="9"/>
        <v/>
      </c>
      <c r="E57" s="48" t="str">
        <f t="shared" si="9"/>
        <v/>
      </c>
      <c r="F57" s="20" t="str">
        <f t="shared" si="9"/>
        <v/>
      </c>
      <c r="G57" s="20" t="str">
        <f t="shared" si="9"/>
        <v/>
      </c>
      <c r="H57" s="48" t="str">
        <f t="shared" si="9"/>
        <v/>
      </c>
      <c r="I57" s="20" t="str">
        <f t="shared" si="9"/>
        <v/>
      </c>
      <c r="J57" s="20" t="str">
        <f t="shared" si="9"/>
        <v/>
      </c>
      <c r="K57" s="48" t="str">
        <f t="shared" si="9"/>
        <v/>
      </c>
      <c r="L57" s="20" t="str">
        <f t="shared" si="9"/>
        <v/>
      </c>
      <c r="M57" s="20" t="str">
        <f t="shared" si="9"/>
        <v/>
      </c>
      <c r="N57" s="47" t="str">
        <f t="shared" si="2"/>
        <v/>
      </c>
      <c r="O57" s="20"/>
      <c r="P57" s="20"/>
      <c r="Q57" s="93" t="str">
        <f t="shared" si="3"/>
        <v/>
      </c>
      <c r="R57" s="25">
        <f t="shared" si="4"/>
        <v>0</v>
      </c>
      <c r="S57" s="25">
        <f t="shared" si="5"/>
        <v>0</v>
      </c>
      <c r="T57" s="25">
        <f t="shared" si="6"/>
        <v>0</v>
      </c>
      <c r="U57" s="25">
        <f t="shared" si="7"/>
        <v>0</v>
      </c>
      <c r="V57" s="25">
        <f t="shared" si="8"/>
        <v>0</v>
      </c>
    </row>
    <row r="58" spans="1:23">
      <c r="A58" s="43" t="str">
        <f t="shared" si="10"/>
        <v/>
      </c>
      <c r="B58" s="48" t="str">
        <f t="shared" si="9"/>
        <v/>
      </c>
      <c r="C58" s="20" t="str">
        <f t="shared" si="9"/>
        <v/>
      </c>
      <c r="D58" s="20" t="str">
        <f t="shared" si="9"/>
        <v/>
      </c>
      <c r="E58" s="48" t="str">
        <f t="shared" si="9"/>
        <v/>
      </c>
      <c r="F58" s="20" t="str">
        <f t="shared" si="9"/>
        <v/>
      </c>
      <c r="G58" s="20" t="str">
        <f t="shared" si="9"/>
        <v/>
      </c>
      <c r="H58" s="48" t="str">
        <f t="shared" si="9"/>
        <v/>
      </c>
      <c r="I58" s="20" t="str">
        <f t="shared" si="9"/>
        <v/>
      </c>
      <c r="J58" s="20" t="str">
        <f t="shared" si="9"/>
        <v/>
      </c>
      <c r="K58" s="48" t="str">
        <f t="shared" si="9"/>
        <v/>
      </c>
      <c r="L58" s="20" t="str">
        <f t="shared" si="9"/>
        <v/>
      </c>
      <c r="M58" s="20" t="str">
        <f t="shared" si="9"/>
        <v/>
      </c>
      <c r="N58" s="47" t="str">
        <f t="shared" si="2"/>
        <v/>
      </c>
      <c r="O58" s="20"/>
      <c r="P58" s="20"/>
      <c r="Q58" s="93" t="str">
        <f t="shared" si="3"/>
        <v/>
      </c>
      <c r="R58" s="25">
        <f t="shared" si="4"/>
        <v>0</v>
      </c>
      <c r="S58" s="25">
        <f t="shared" si="5"/>
        <v>0</v>
      </c>
      <c r="T58" s="25">
        <f t="shared" si="6"/>
        <v>0</v>
      </c>
      <c r="U58" s="25">
        <f t="shared" si="7"/>
        <v>0</v>
      </c>
      <c r="V58" s="25">
        <f t="shared" si="8"/>
        <v>0</v>
      </c>
    </row>
    <row r="59" spans="1:23">
      <c r="A59" s="43" t="str">
        <f t="shared" si="10"/>
        <v/>
      </c>
      <c r="B59" s="48" t="str">
        <f t="shared" si="9"/>
        <v/>
      </c>
      <c r="C59" s="20" t="str">
        <f t="shared" si="9"/>
        <v/>
      </c>
      <c r="D59" s="20" t="str">
        <f t="shared" si="9"/>
        <v/>
      </c>
      <c r="E59" s="48" t="str">
        <f t="shared" si="9"/>
        <v/>
      </c>
      <c r="F59" s="20" t="str">
        <f t="shared" si="9"/>
        <v/>
      </c>
      <c r="G59" s="20" t="str">
        <f t="shared" si="9"/>
        <v/>
      </c>
      <c r="H59" s="48" t="str">
        <f t="shared" si="9"/>
        <v/>
      </c>
      <c r="I59" s="20" t="str">
        <f t="shared" si="9"/>
        <v/>
      </c>
      <c r="J59" s="20" t="str">
        <f t="shared" si="9"/>
        <v/>
      </c>
      <c r="K59" s="48" t="str">
        <f t="shared" si="9"/>
        <v/>
      </c>
      <c r="L59" s="20" t="str">
        <f t="shared" si="9"/>
        <v/>
      </c>
      <c r="M59" s="20" t="str">
        <f t="shared" si="9"/>
        <v/>
      </c>
      <c r="N59" s="47" t="str">
        <f>IF(SUM(B59:M59)&lt;=0,"",SUM(B59:M59))</f>
        <v/>
      </c>
      <c r="O59" s="20"/>
      <c r="P59" s="20"/>
      <c r="Q59" s="93" t="str">
        <f t="shared" si="3"/>
        <v/>
      </c>
      <c r="R59" s="25">
        <f t="shared" si="4"/>
        <v>0</v>
      </c>
      <c r="S59" s="25">
        <f t="shared" si="5"/>
        <v>0</v>
      </c>
      <c r="T59" s="25">
        <f t="shared" si="6"/>
        <v>0</v>
      </c>
      <c r="U59" s="25">
        <f t="shared" si="7"/>
        <v>0</v>
      </c>
      <c r="V59" s="25">
        <f t="shared" si="8"/>
        <v>0</v>
      </c>
    </row>
    <row r="60" spans="1:23">
      <c r="A60" s="50"/>
      <c r="B60" s="48"/>
      <c r="C60" s="20"/>
      <c r="D60" s="20"/>
      <c r="E60" s="48"/>
      <c r="F60" s="20"/>
      <c r="G60" s="20"/>
      <c r="H60" s="48"/>
      <c r="I60" s="20"/>
      <c r="J60" s="20"/>
      <c r="K60" s="48"/>
      <c r="L60" s="20"/>
      <c r="M60" s="20"/>
      <c r="N60" s="47"/>
      <c r="O60" s="14"/>
      <c r="P60" s="14"/>
    </row>
    <row r="61" spans="1:23" ht="16.5" thickBot="1">
      <c r="A61" s="100" t="s">
        <v>46</v>
      </c>
      <c r="B61" s="51"/>
      <c r="C61" s="52"/>
      <c r="D61" s="52"/>
      <c r="E61" s="51"/>
      <c r="F61" s="52"/>
      <c r="G61" s="52"/>
      <c r="H61" s="51"/>
      <c r="I61" s="52"/>
      <c r="J61" s="52"/>
      <c r="K61" s="51"/>
      <c r="L61" s="52"/>
      <c r="M61" s="52"/>
      <c r="N61" s="53"/>
      <c r="O61" s="14"/>
      <c r="P61" s="14"/>
      <c r="Q61" s="95">
        <f>INDEX(Q48:Q58,W61,1)</f>
        <v>0.33333333333333304</v>
      </c>
      <c r="R61" s="25">
        <f>MAX(INDEX(R48:V59,W48,1),INDEX(R48:V59,W49,1),INDEX(R48:V59,W50,1),INDEX(R48:V59,W51,1))</f>
        <v>23</v>
      </c>
      <c r="S61" s="25">
        <f>MAX(INDEX(R48:V59,W48,2),INDEX(R48:V59,W49,2),INDEX(R48:V59,W50,2),INDEX(R48:V59,W51,2))</f>
        <v>14</v>
      </c>
      <c r="T61" s="25">
        <f>MAX(INDEX(R48:V59,W48,3),INDEX(R48:V59,W49,3),INDEX(R48:V59,W50,3),INDEX(R48:V59,W51,3))</f>
        <v>90</v>
      </c>
      <c r="U61" s="25">
        <f>MAX(INDEX(R48:V59,W48,4),INDEX(R48:V59,W49,4),INDEX(R48:V59,W50,4),INDEX(R48:V59,W51,4))</f>
        <v>0</v>
      </c>
      <c r="V61" s="25">
        <f>MAX(INDEX(V48:V59,W48,1),INDEX(V48:V59,W49,1),INDEX(V48:V59,W50,1),INDEX(V48:V59,W51,1))</f>
        <v>127</v>
      </c>
      <c r="W61" s="19">
        <f>MATCH(V61,V48:V59,0)</f>
        <v>4</v>
      </c>
    </row>
    <row r="62" spans="1:23" ht="16.5" thickTop="1">
      <c r="A62" s="39" t="s">
        <v>47</v>
      </c>
      <c r="B62" s="40" t="s">
        <v>27</v>
      </c>
      <c r="C62" s="41" t="s">
        <v>28</v>
      </c>
      <c r="D62" s="41" t="s">
        <v>29</v>
      </c>
      <c r="E62" s="40" t="s">
        <v>30</v>
      </c>
      <c r="F62" s="41" t="s">
        <v>31</v>
      </c>
      <c r="G62" s="41" t="s">
        <v>32</v>
      </c>
      <c r="H62" s="40" t="s">
        <v>33</v>
      </c>
      <c r="I62" s="41" t="s">
        <v>34</v>
      </c>
      <c r="J62" s="41" t="s">
        <v>35</v>
      </c>
      <c r="K62" s="40" t="s">
        <v>36</v>
      </c>
      <c r="L62" s="41" t="s">
        <v>37</v>
      </c>
      <c r="M62" s="41" t="s">
        <v>38</v>
      </c>
      <c r="N62" s="42" t="s">
        <v>13</v>
      </c>
      <c r="O62" s="41"/>
      <c r="P62" s="41"/>
    </row>
    <row r="63" spans="1:23">
      <c r="A63" s="43">
        <f>A33-15/1440</f>
        <v>0.2916666666666663</v>
      </c>
      <c r="B63" s="48">
        <f t="shared" ref="B63:M63" si="11">IF(B33="","",IF($A$63&lt;&gt;"",SUM(B48:B51),""))</f>
        <v>47</v>
      </c>
      <c r="C63" s="20">
        <f t="shared" si="11"/>
        <v>33</v>
      </c>
      <c r="D63" s="20" t="str">
        <f t="shared" si="11"/>
        <v/>
      </c>
      <c r="E63" s="48" t="str">
        <f t="shared" si="11"/>
        <v/>
      </c>
      <c r="F63" s="20">
        <f t="shared" si="11"/>
        <v>19</v>
      </c>
      <c r="G63" s="20">
        <f t="shared" si="11"/>
        <v>11</v>
      </c>
      <c r="H63" s="48">
        <f t="shared" si="11"/>
        <v>8</v>
      </c>
      <c r="I63" s="20">
        <f t="shared" si="11"/>
        <v>231</v>
      </c>
      <c r="J63" s="20">
        <f t="shared" si="11"/>
        <v>5</v>
      </c>
      <c r="K63" s="48" t="str">
        <f t="shared" si="11"/>
        <v/>
      </c>
      <c r="L63" s="20" t="str">
        <f t="shared" si="11"/>
        <v/>
      </c>
      <c r="M63" s="20" t="str">
        <f t="shared" si="11"/>
        <v/>
      </c>
      <c r="N63" s="47">
        <f t="shared" ref="N63:N71" si="12">IF(SUM(B63:M63)&lt;=0,"",SUM(B63:M63))</f>
        <v>354</v>
      </c>
      <c r="O63" s="20"/>
      <c r="P63" s="20"/>
      <c r="Q63" s="93">
        <f t="shared" ref="Q63:Q71" si="13">$A63</f>
        <v>0.2916666666666663</v>
      </c>
      <c r="R63" s="19">
        <f>MAX(N63:N71)</f>
        <v>421</v>
      </c>
    </row>
    <row r="64" spans="1:23" s="59" customFormat="1">
      <c r="A64" s="43">
        <f t="shared" ref="A64:A71" si="14">IF(A63="","",IF(A52="","",A63+15/1440))</f>
        <v>0.30208333333333298</v>
      </c>
      <c r="B64" s="48">
        <f>IF($A$64="","",IF(B52&lt;&gt;"",SUM(B49:B52),""))</f>
        <v>43</v>
      </c>
      <c r="C64" s="20">
        <f>IF($A$64="","",IF(C52&lt;&gt;"",SUM(C49:C52),""))</f>
        <v>41</v>
      </c>
      <c r="D64" s="20" t="str">
        <f t="shared" ref="D64:M64" si="15">IF($A$64="","",IF(D52&lt;&gt;"",SUM(D49:D52),""))</f>
        <v/>
      </c>
      <c r="E64" s="48" t="str">
        <f t="shared" si="15"/>
        <v/>
      </c>
      <c r="F64" s="20">
        <f t="shared" si="15"/>
        <v>14</v>
      </c>
      <c r="G64" s="20">
        <f t="shared" si="15"/>
        <v>12</v>
      </c>
      <c r="H64" s="48">
        <f t="shared" si="15"/>
        <v>9</v>
      </c>
      <c r="I64" s="20">
        <f t="shared" si="15"/>
        <v>274</v>
      </c>
      <c r="J64" s="20">
        <f t="shared" si="15"/>
        <v>5</v>
      </c>
      <c r="K64" s="48" t="str">
        <f t="shared" si="15"/>
        <v/>
      </c>
      <c r="L64" s="20" t="str">
        <f t="shared" si="15"/>
        <v/>
      </c>
      <c r="M64" s="20" t="str">
        <f t="shared" si="15"/>
        <v/>
      </c>
      <c r="N64" s="47">
        <f t="shared" si="12"/>
        <v>398</v>
      </c>
      <c r="O64" s="20"/>
      <c r="P64" s="20"/>
      <c r="Q64" s="93">
        <f t="shared" si="13"/>
        <v>0.30208333333333298</v>
      </c>
      <c r="R64" s="19">
        <f>MATCH(R63,N63:N71,0)</f>
        <v>4</v>
      </c>
      <c r="S64" s="93">
        <f>INDEX(Q63:Q71,R64,1)</f>
        <v>0.32291666666666635</v>
      </c>
      <c r="T64" s="19"/>
    </row>
    <row r="65" spans="1:20">
      <c r="A65" s="43">
        <f t="shared" si="14"/>
        <v>0.31249999999999967</v>
      </c>
      <c r="B65" s="48">
        <f>IF($A$65="","",IF(B53&lt;&gt;"",SUM(B50:B53),""))</f>
        <v>32</v>
      </c>
      <c r="C65" s="20">
        <f>IF($A$65="","",IF(C53&lt;&gt;"",SUM(C50:C53),""))</f>
        <v>41</v>
      </c>
      <c r="D65" s="20" t="str">
        <f t="shared" ref="D65:M65" si="16">IF($A$65="","",IF(D53&lt;&gt;"",SUM(D50:D53),""))</f>
        <v/>
      </c>
      <c r="E65" s="48" t="str">
        <f t="shared" si="16"/>
        <v/>
      </c>
      <c r="F65" s="20">
        <f t="shared" si="16"/>
        <v>17</v>
      </c>
      <c r="G65" s="20">
        <f t="shared" si="16"/>
        <v>10</v>
      </c>
      <c r="H65" s="48">
        <f t="shared" si="16"/>
        <v>13</v>
      </c>
      <c r="I65" s="20">
        <f t="shared" si="16"/>
        <v>291</v>
      </c>
      <c r="J65" s="20">
        <f t="shared" si="16"/>
        <v>4</v>
      </c>
      <c r="K65" s="48" t="str">
        <f t="shared" si="16"/>
        <v/>
      </c>
      <c r="L65" s="20" t="str">
        <f t="shared" si="16"/>
        <v/>
      </c>
      <c r="M65" s="20" t="str">
        <f t="shared" si="16"/>
        <v/>
      </c>
      <c r="N65" s="47">
        <f t="shared" si="12"/>
        <v>408</v>
      </c>
      <c r="O65" s="20"/>
      <c r="P65" s="20"/>
      <c r="Q65" s="93">
        <f t="shared" si="13"/>
        <v>0.31249999999999967</v>
      </c>
    </row>
    <row r="66" spans="1:20">
      <c r="A66" s="43">
        <f t="shared" si="14"/>
        <v>0.32291666666666635</v>
      </c>
      <c r="B66" s="48">
        <f>IF($A$64="","",IF(B54&lt;&gt;"",SUM(B51:B54),""))</f>
        <v>38</v>
      </c>
      <c r="C66" s="20">
        <f>IF($A$64="","",IF(C54&lt;&gt;"",SUM(C51:C54),""))</f>
        <v>43</v>
      </c>
      <c r="D66" s="20" t="str">
        <f t="shared" ref="D66:M66" si="17">IF($A$64="","",IF(D54&lt;&gt;"",SUM(D51:D54),""))</f>
        <v/>
      </c>
      <c r="E66" s="48" t="str">
        <f t="shared" si="17"/>
        <v/>
      </c>
      <c r="F66" s="20">
        <f t="shared" si="17"/>
        <v>21</v>
      </c>
      <c r="G66" s="20">
        <f t="shared" si="17"/>
        <v>12</v>
      </c>
      <c r="H66" s="48">
        <f t="shared" si="17"/>
        <v>16</v>
      </c>
      <c r="I66" s="20">
        <f t="shared" si="17"/>
        <v>289</v>
      </c>
      <c r="J66" s="20">
        <f t="shared" si="17"/>
        <v>2</v>
      </c>
      <c r="K66" s="48" t="str">
        <f t="shared" si="17"/>
        <v/>
      </c>
      <c r="L66" s="20" t="str">
        <f t="shared" si="17"/>
        <v/>
      </c>
      <c r="M66" s="20" t="str">
        <f t="shared" si="17"/>
        <v/>
      </c>
      <c r="N66" s="47">
        <f>IF(SUM(B66:M66)&lt;=0,"",SUM(B66:M66))</f>
        <v>421</v>
      </c>
      <c r="O66" s="20"/>
      <c r="P66" s="20"/>
      <c r="Q66" s="93">
        <f t="shared" si="13"/>
        <v>0.32291666666666635</v>
      </c>
    </row>
    <row r="67" spans="1:20">
      <c r="A67" s="43">
        <f t="shared" si="14"/>
        <v>0.33333333333333304</v>
      </c>
      <c r="B67" s="48">
        <f>IF($A$65="","",IF(B55&lt;&gt;"",SUM(B52:B55),""))</f>
        <v>40</v>
      </c>
      <c r="C67" s="20">
        <f>IF($A$65="","",IF(C55&lt;&gt;"",SUM(C52:C55),""))</f>
        <v>41</v>
      </c>
      <c r="D67" s="20" t="str">
        <f t="shared" ref="D67:M67" si="18">IF($A$65="","",IF(D55&lt;&gt;"",SUM(D52:D55),""))</f>
        <v/>
      </c>
      <c r="E67" s="48" t="str">
        <f t="shared" si="18"/>
        <v/>
      </c>
      <c r="F67" s="20">
        <f t="shared" si="18"/>
        <v>17</v>
      </c>
      <c r="G67" s="20">
        <f t="shared" si="18"/>
        <v>10</v>
      </c>
      <c r="H67" s="48">
        <f t="shared" si="18"/>
        <v>17</v>
      </c>
      <c r="I67" s="20">
        <f t="shared" si="18"/>
        <v>280</v>
      </c>
      <c r="J67" s="20">
        <f t="shared" si="18"/>
        <v>2</v>
      </c>
      <c r="K67" s="48" t="str">
        <f t="shared" si="18"/>
        <v/>
      </c>
      <c r="L67" s="20" t="str">
        <f t="shared" si="18"/>
        <v/>
      </c>
      <c r="M67" s="20" t="str">
        <f t="shared" si="18"/>
        <v/>
      </c>
      <c r="N67" s="47">
        <f>IF(SUM(B67:M67)&lt;=0,"",SUM(B67:M67))</f>
        <v>407</v>
      </c>
      <c r="O67" s="20"/>
      <c r="P67" s="20"/>
      <c r="Q67" s="93">
        <f t="shared" si="13"/>
        <v>0.33333333333333304</v>
      </c>
    </row>
    <row r="68" spans="1:20">
      <c r="A68" s="43" t="str">
        <f t="shared" si="14"/>
        <v/>
      </c>
      <c r="B68" s="48" t="str">
        <f t="shared" ref="B68:M68" si="19">IF(B56&lt;&gt;"",SUM(B53:B56),"")</f>
        <v/>
      </c>
      <c r="C68" s="20" t="str">
        <f t="shared" si="19"/>
        <v/>
      </c>
      <c r="D68" s="20" t="str">
        <f t="shared" si="19"/>
        <v/>
      </c>
      <c r="E68" s="48" t="str">
        <f t="shared" si="19"/>
        <v/>
      </c>
      <c r="F68" s="20" t="str">
        <f t="shared" si="19"/>
        <v/>
      </c>
      <c r="G68" s="20" t="str">
        <f t="shared" si="19"/>
        <v/>
      </c>
      <c r="H68" s="48" t="str">
        <f t="shared" si="19"/>
        <v/>
      </c>
      <c r="I68" s="20" t="str">
        <f t="shared" si="19"/>
        <v/>
      </c>
      <c r="J68" s="20" t="str">
        <f t="shared" si="19"/>
        <v/>
      </c>
      <c r="K68" s="48" t="str">
        <f t="shared" si="19"/>
        <v/>
      </c>
      <c r="L68" s="20" t="str">
        <f t="shared" si="19"/>
        <v/>
      </c>
      <c r="M68" s="20" t="str">
        <f t="shared" si="19"/>
        <v/>
      </c>
      <c r="N68" s="47" t="str">
        <f>IF(SUM(B68:M68)&lt;=0,"",SUM(B68:M68))</f>
        <v/>
      </c>
      <c r="O68" s="20"/>
      <c r="P68" s="20"/>
      <c r="Q68" s="93" t="str">
        <f t="shared" si="13"/>
        <v/>
      </c>
    </row>
    <row r="69" spans="1:20">
      <c r="A69" s="43" t="str">
        <f t="shared" si="14"/>
        <v/>
      </c>
      <c r="B69" s="48" t="str">
        <f>IF($A$71="","",IF(B57&lt;&gt;"",SUM(B54:B57),""))</f>
        <v/>
      </c>
      <c r="C69" s="20" t="str">
        <f>IF($A$71="","",IF(C57&lt;&gt;"",SUM(C54:C57),""))</f>
        <v/>
      </c>
      <c r="D69" s="20" t="str">
        <f t="shared" ref="D69:M69" si="20">IF($A$71="","",IF(D57&lt;&gt;"",SUM(D54:D57),""))</f>
        <v/>
      </c>
      <c r="E69" s="48" t="str">
        <f t="shared" si="20"/>
        <v/>
      </c>
      <c r="F69" s="20" t="str">
        <f t="shared" si="20"/>
        <v/>
      </c>
      <c r="G69" s="20" t="str">
        <f t="shared" si="20"/>
        <v/>
      </c>
      <c r="H69" s="48" t="str">
        <f t="shared" si="20"/>
        <v/>
      </c>
      <c r="I69" s="20" t="str">
        <f t="shared" si="20"/>
        <v/>
      </c>
      <c r="J69" s="20" t="str">
        <f t="shared" si="20"/>
        <v/>
      </c>
      <c r="K69" s="48" t="str">
        <f t="shared" si="20"/>
        <v/>
      </c>
      <c r="L69" s="20" t="str">
        <f t="shared" si="20"/>
        <v/>
      </c>
      <c r="M69" s="20" t="str">
        <f t="shared" si="20"/>
        <v/>
      </c>
      <c r="N69" s="47" t="str">
        <f>IF(SUM(B69:M69)&lt;=0,"",SUM(B69:M69))</f>
        <v/>
      </c>
      <c r="O69" s="20"/>
      <c r="P69" s="20"/>
      <c r="Q69" s="93" t="str">
        <f t="shared" si="13"/>
        <v/>
      </c>
    </row>
    <row r="70" spans="1:20">
      <c r="A70" s="43" t="str">
        <f t="shared" si="14"/>
        <v/>
      </c>
      <c r="B70" s="48" t="str">
        <f t="shared" ref="B70:M70" si="21">IF(B58&lt;&gt;"",SUM(B55:B58),"")</f>
        <v/>
      </c>
      <c r="C70" s="20" t="str">
        <f t="shared" si="21"/>
        <v/>
      </c>
      <c r="D70" s="20" t="str">
        <f t="shared" si="21"/>
        <v/>
      </c>
      <c r="E70" s="48" t="str">
        <f t="shared" si="21"/>
        <v/>
      </c>
      <c r="F70" s="20" t="str">
        <f t="shared" si="21"/>
        <v/>
      </c>
      <c r="G70" s="20" t="str">
        <f t="shared" si="21"/>
        <v/>
      </c>
      <c r="H70" s="48" t="str">
        <f t="shared" si="21"/>
        <v/>
      </c>
      <c r="I70" s="20" t="str">
        <f t="shared" si="21"/>
        <v/>
      </c>
      <c r="J70" s="20" t="str">
        <f t="shared" si="21"/>
        <v/>
      </c>
      <c r="K70" s="48" t="str">
        <f t="shared" si="21"/>
        <v/>
      </c>
      <c r="L70" s="20" t="str">
        <f t="shared" si="21"/>
        <v/>
      </c>
      <c r="M70" s="20" t="str">
        <f t="shared" si="21"/>
        <v/>
      </c>
      <c r="N70" s="47" t="str">
        <f t="shared" si="12"/>
        <v/>
      </c>
      <c r="O70" s="20"/>
      <c r="P70" s="20"/>
      <c r="Q70" s="93" t="str">
        <f t="shared" si="13"/>
        <v/>
      </c>
    </row>
    <row r="71" spans="1:20">
      <c r="A71" s="43" t="str">
        <f t="shared" si="14"/>
        <v/>
      </c>
      <c r="B71" s="48" t="str">
        <f>IF($A$71="","",IF(B59&lt;&gt;"",SUM(B56:B59),""))</f>
        <v/>
      </c>
      <c r="C71" s="20" t="str">
        <f>IF($A$71="","",IF(C59&lt;&gt;"",SUM(C56:C59),""))</f>
        <v/>
      </c>
      <c r="D71" s="20" t="str">
        <f t="shared" ref="D71:M71" si="22">IF($A$71="","",IF(D59&lt;&gt;"",SUM(D56:D59),""))</f>
        <v/>
      </c>
      <c r="E71" s="48" t="str">
        <f t="shared" si="22"/>
        <v/>
      </c>
      <c r="F71" s="20" t="str">
        <f t="shared" si="22"/>
        <v/>
      </c>
      <c r="G71" s="20" t="str">
        <f t="shared" si="22"/>
        <v/>
      </c>
      <c r="H71" s="48" t="str">
        <f t="shared" si="22"/>
        <v/>
      </c>
      <c r="I71" s="20" t="str">
        <f t="shared" si="22"/>
        <v/>
      </c>
      <c r="J71" s="20" t="str">
        <f t="shared" si="22"/>
        <v/>
      </c>
      <c r="K71" s="48" t="str">
        <f t="shared" si="22"/>
        <v/>
      </c>
      <c r="L71" s="20" t="str">
        <f t="shared" si="22"/>
        <v/>
      </c>
      <c r="M71" s="20" t="str">
        <f t="shared" si="22"/>
        <v/>
      </c>
      <c r="N71" s="47" t="str">
        <f t="shared" si="12"/>
        <v/>
      </c>
      <c r="O71" s="20"/>
      <c r="P71" s="20"/>
      <c r="Q71" s="93" t="str">
        <f t="shared" si="13"/>
        <v/>
      </c>
    </row>
    <row r="72" spans="1:20" ht="16.5" thickBot="1">
      <c r="A72" s="54"/>
      <c r="B72" s="55"/>
      <c r="C72" s="56"/>
      <c r="D72" s="56"/>
      <c r="E72" s="55"/>
      <c r="F72" s="56"/>
      <c r="G72" s="56"/>
      <c r="H72" s="55"/>
      <c r="I72" s="56"/>
      <c r="J72" s="56"/>
      <c r="K72" s="55"/>
      <c r="L72" s="56"/>
      <c r="M72" s="56"/>
      <c r="N72" s="57"/>
      <c r="O72" s="14"/>
      <c r="P72" s="14"/>
    </row>
    <row r="73" spans="1:20" ht="15" customHeight="1" thickTop="1">
      <c r="A73" s="58"/>
      <c r="B73" s="58"/>
      <c r="C73" s="14"/>
      <c r="F73" s="58"/>
      <c r="G73" s="14"/>
      <c r="H73" s="14"/>
      <c r="J73" s="14"/>
      <c r="L73" s="14"/>
      <c r="M73" s="14"/>
      <c r="N73" s="14"/>
      <c r="O73" s="14"/>
      <c r="P73" s="14"/>
    </row>
    <row r="74" spans="1:20" ht="15" customHeight="1">
      <c r="A74" s="58"/>
      <c r="B74" s="58"/>
      <c r="C74" s="14"/>
      <c r="F74" s="58"/>
      <c r="G74" s="14"/>
      <c r="H74" s="14"/>
      <c r="J74" s="14"/>
      <c r="L74" s="14"/>
      <c r="M74" s="14"/>
      <c r="N74" s="14"/>
      <c r="O74" s="14"/>
      <c r="P74" s="14"/>
    </row>
    <row r="75" spans="1:20" ht="15" hidden="1" customHeight="1">
      <c r="A75" s="19" t="s">
        <v>48</v>
      </c>
      <c r="E75" s="58"/>
    </row>
    <row r="76" spans="1:20" ht="15" hidden="1" customHeight="1">
      <c r="A76" s="19" t="s">
        <v>49</v>
      </c>
      <c r="C76" s="25">
        <f>IF(F33="",0,INDEX($B$63:$M$71,$R$64,5))+IF(H33="",0,INDEX($B$63:$M$71,$R$64,7))+IF(M33="",0,INDEX($B$63:$M$71,$R$64,12))</f>
        <v>37</v>
      </c>
      <c r="I76" s="25">
        <f>IF(D33="",0,INDEX($B$63:$M$71,$R$64,3))+IF(E33="",0,INDEX($B$63:$M$71,$R$64,4))+IF(L33="",0,INDEX($B$63:$M$71,$R$64,11))</f>
        <v>0</v>
      </c>
      <c r="M76" s="25" t="s">
        <v>13</v>
      </c>
    </row>
    <row r="77" spans="1:20" ht="15" hidden="1" customHeight="1">
      <c r="A77" s="19" t="s">
        <v>50</v>
      </c>
      <c r="C77" s="25">
        <f>IF(B33="",0,INDEX($B$63:$M$71,$R$64,1))+IF(C33="",0,INDEX($B$63:$M$71,$R$64,2))+IF(D33="",0,INDEX($B$63:$M$71,$R$64,3))</f>
        <v>81</v>
      </c>
      <c r="F77" s="25">
        <f>IF(E33="",0,INDEX($B$63:$M$71,$R$64,4))+IF(F33="",0,INDEX($B$63:$M$71,$R$64,5))+IF(G33="",0,INDEX($B$63:$M$71,$R$64,6))</f>
        <v>33</v>
      </c>
      <c r="I77" s="25">
        <f>IF(H33="",0,INDEX($B$63:$M$71,$R$64,7))+IF(I33="",0,INDEX($B$63:$M$71,$R$64,8))+IF(J33="",0,INDEX($B$63:$M$71,$R$64,9))</f>
        <v>307</v>
      </c>
      <c r="L77" s="25">
        <f>IF(K33="",0,INDEX($B$63:$M$71,$R$64,10))+IF(L33="",0,INDEX($B$63:$M$71,$R$64,11))+IF(M33="",0,INDEX($B$63:$M$71,$R$64,12))</f>
        <v>0</v>
      </c>
      <c r="M77" s="70"/>
      <c r="S77" s="59"/>
    </row>
    <row r="78" spans="1:20" ht="15" hidden="1" customHeight="1">
      <c r="A78" s="19" t="s">
        <v>49</v>
      </c>
      <c r="F78" s="25">
        <f>IF(C33="",0,INDEX($B$63:$M$71,$R$64,2))+IF(J33="",0,INDEX($B$63:$M$71,$R$64,9))+IF(K33="",0,INDEX($B$63:$M$71,$R$64,10))</f>
        <v>45</v>
      </c>
      <c r="L78" s="25">
        <f>IF(B33="",0,INDEX($B$63:$M$71,$R$64,1))+IF(G33="",0,INDEX($B$63:$M$71,$R$64,6))+IF(I33="",0,INDEX($B$63:$M$71,$R$64,8))</f>
        <v>339</v>
      </c>
    </row>
    <row r="79" spans="1:20" ht="15" customHeight="1">
      <c r="C79" s="25"/>
      <c r="F79" s="25"/>
      <c r="I79" s="25"/>
      <c r="L79" s="25"/>
    </row>
    <row r="80" spans="1:20" ht="15" customHeight="1">
      <c r="C80" s="96"/>
      <c r="T80" s="59"/>
    </row>
    <row r="81" spans="1:20" ht="15" customHeight="1"/>
    <row r="83" spans="1:20" s="59" customFormat="1">
      <c r="A83" s="19"/>
      <c r="B83" s="19"/>
      <c r="C83" s="25"/>
      <c r="D83" s="19"/>
      <c r="E83" s="19"/>
      <c r="F83" s="25"/>
      <c r="G83" s="19"/>
      <c r="H83" s="19"/>
      <c r="I83" s="97"/>
      <c r="J83" s="19"/>
      <c r="K83" s="19"/>
      <c r="L83" s="25"/>
      <c r="M83" s="19"/>
      <c r="N83" s="19"/>
      <c r="O83" s="19"/>
      <c r="P83" s="19"/>
      <c r="Q83" s="19"/>
      <c r="R83" s="19"/>
      <c r="S83" s="19"/>
      <c r="T83" s="19"/>
    </row>
    <row r="84" spans="1:20">
      <c r="C84" s="25"/>
      <c r="F84" s="25"/>
      <c r="I84" s="25"/>
      <c r="L84" s="25"/>
    </row>
    <row r="85" spans="1:20">
      <c r="C85" s="25"/>
      <c r="F85" s="25"/>
      <c r="I85" s="25"/>
      <c r="L85" s="25"/>
    </row>
    <row r="89" spans="1:20">
      <c r="L89" s="25"/>
    </row>
    <row r="98" spans="20:40" ht="25.15" customHeight="1"/>
    <row r="99" spans="20:40"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 spans="20:40" ht="31.15" customHeight="1">
      <c r="V100" s="81"/>
      <c r="W100" s="25"/>
      <c r="X100" s="25"/>
      <c r="Y100" s="70"/>
      <c r="Z100" s="70"/>
      <c r="AA100" s="70"/>
      <c r="AB100" s="25"/>
      <c r="AC100" s="25"/>
      <c r="AD100" s="25"/>
      <c r="AE100" s="25"/>
      <c r="AI100" s="70"/>
      <c r="AJ100" s="70"/>
      <c r="AK100" s="70"/>
    </row>
    <row r="101" spans="20:40" ht="25.15" customHeight="1"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</row>
    <row r="102" spans="20:40"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spans="20:40"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spans="20:40"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spans="20:40"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spans="20:40"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 spans="20:40"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spans="20:40">
      <c r="T108" s="70"/>
      <c r="V108" s="25"/>
      <c r="W108" s="25"/>
      <c r="X108" s="25"/>
      <c r="Y108" s="25"/>
      <c r="Z108" s="25"/>
      <c r="AA108" s="25"/>
      <c r="AB108" s="25"/>
      <c r="AC108" s="25"/>
      <c r="AD108" s="25"/>
      <c r="AE108" s="70"/>
      <c r="AF108" s="70"/>
      <c r="AN108" s="70"/>
    </row>
    <row r="109" spans="20:40">
      <c r="T109" s="70"/>
      <c r="V109" s="25"/>
      <c r="W109" s="25"/>
      <c r="X109" s="25"/>
      <c r="Y109" s="25"/>
      <c r="Z109" s="25"/>
      <c r="AA109" s="25"/>
      <c r="AB109" s="25"/>
      <c r="AC109" s="25"/>
      <c r="AD109" s="25"/>
      <c r="AE109" s="70"/>
      <c r="AF109" s="70"/>
      <c r="AN109" s="70"/>
    </row>
    <row r="110" spans="20:40">
      <c r="T110" s="70"/>
      <c r="V110" s="25"/>
      <c r="W110" s="25"/>
      <c r="X110" s="25"/>
      <c r="Y110" s="25"/>
      <c r="Z110" s="25"/>
      <c r="AA110" s="25"/>
      <c r="AB110" s="25"/>
      <c r="AC110" s="25"/>
      <c r="AD110" s="25"/>
      <c r="AE110" s="70"/>
      <c r="AF110" s="70"/>
      <c r="AN110" s="70"/>
    </row>
    <row r="111" spans="20:40"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spans="20:40"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spans="22:44"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 spans="22:44"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spans="22:44"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 spans="22:44"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spans="22:44"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spans="22:44" ht="31.15" customHeight="1">
      <c r="V118" s="25"/>
      <c r="W118" s="25"/>
      <c r="X118" s="25"/>
      <c r="Y118" s="70"/>
      <c r="Z118" s="70"/>
      <c r="AA118" s="70"/>
      <c r="AB118" s="25"/>
      <c r="AC118" s="25"/>
      <c r="AD118" s="25"/>
      <c r="AE118" s="25"/>
      <c r="AI118" s="70"/>
      <c r="AJ118" s="70"/>
      <c r="AK118" s="70"/>
    </row>
    <row r="119" spans="22:44" ht="25.15" customHeight="1"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spans="22:44" ht="25.15" customHeight="1"/>
    <row r="121" spans="22:44">
      <c r="AR121" s="98"/>
    </row>
  </sheetData>
  <pageMargins left="0.7" right="0.7" top="0.75" bottom="0.75" header="0.3" footer="0.3"/>
  <pageSetup scale="60" fitToWidth="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121"/>
  <sheetViews>
    <sheetView zoomScale="70" zoomScaleNormal="70" workbookViewId="0">
      <selection activeCell="L41" sqref="L41"/>
    </sheetView>
  </sheetViews>
  <sheetFormatPr defaultColWidth="10" defaultRowHeight="15.75"/>
  <cols>
    <col min="1" max="1" width="17.28515625" style="19" customWidth="1"/>
    <col min="2" max="2" width="10.42578125" style="19" customWidth="1"/>
    <col min="3" max="6" width="10.140625" style="19" bestFit="1" customWidth="1"/>
    <col min="7" max="7" width="10" style="19"/>
    <col min="8" max="10" width="10.140625" style="19" bestFit="1" customWidth="1"/>
    <col min="11" max="11" width="10.85546875" style="19" bestFit="1" customWidth="1"/>
    <col min="12" max="12" width="10.140625" style="19" bestFit="1" customWidth="1"/>
    <col min="13" max="13" width="10.85546875" style="19" bestFit="1" customWidth="1"/>
    <col min="14" max="16" width="10" style="19"/>
    <col min="17" max="23" width="10.140625" style="19" bestFit="1" customWidth="1"/>
    <col min="24" max="256" width="10" style="19"/>
    <col min="257" max="257" width="9.28515625" style="19" customWidth="1"/>
    <col min="258" max="512" width="10" style="19"/>
    <col min="513" max="513" width="9.28515625" style="19" customWidth="1"/>
    <col min="514" max="768" width="10" style="19"/>
    <col min="769" max="769" width="9.28515625" style="19" customWidth="1"/>
    <col min="770" max="1024" width="10" style="19"/>
    <col min="1025" max="1025" width="9.28515625" style="19" customWidth="1"/>
    <col min="1026" max="1280" width="10" style="19"/>
    <col min="1281" max="1281" width="9.28515625" style="19" customWidth="1"/>
    <col min="1282" max="1536" width="10" style="19"/>
    <col min="1537" max="1537" width="9.28515625" style="19" customWidth="1"/>
    <col min="1538" max="1792" width="10" style="19"/>
    <col min="1793" max="1793" width="9.28515625" style="19" customWidth="1"/>
    <col min="1794" max="2048" width="10" style="19"/>
    <col min="2049" max="2049" width="9.28515625" style="19" customWidth="1"/>
    <col min="2050" max="2304" width="10" style="19"/>
    <col min="2305" max="2305" width="9.28515625" style="19" customWidth="1"/>
    <col min="2306" max="2560" width="10" style="19"/>
    <col min="2561" max="2561" width="9.28515625" style="19" customWidth="1"/>
    <col min="2562" max="2816" width="10" style="19"/>
    <col min="2817" max="2817" width="9.28515625" style="19" customWidth="1"/>
    <col min="2818" max="3072" width="10" style="19"/>
    <col min="3073" max="3073" width="9.28515625" style="19" customWidth="1"/>
    <col min="3074" max="3328" width="10" style="19"/>
    <col min="3329" max="3329" width="9.28515625" style="19" customWidth="1"/>
    <col min="3330" max="3584" width="10" style="19"/>
    <col min="3585" max="3585" width="9.28515625" style="19" customWidth="1"/>
    <col min="3586" max="3840" width="10" style="19"/>
    <col min="3841" max="3841" width="9.28515625" style="19" customWidth="1"/>
    <col min="3842" max="4096" width="10" style="19"/>
    <col min="4097" max="4097" width="9.28515625" style="19" customWidth="1"/>
    <col min="4098" max="4352" width="10" style="19"/>
    <col min="4353" max="4353" width="9.28515625" style="19" customWidth="1"/>
    <col min="4354" max="4608" width="10" style="19"/>
    <col min="4609" max="4609" width="9.28515625" style="19" customWidth="1"/>
    <col min="4610" max="4864" width="10" style="19"/>
    <col min="4865" max="4865" width="9.28515625" style="19" customWidth="1"/>
    <col min="4866" max="5120" width="10" style="19"/>
    <col min="5121" max="5121" width="9.28515625" style="19" customWidth="1"/>
    <col min="5122" max="5376" width="10" style="19"/>
    <col min="5377" max="5377" width="9.28515625" style="19" customWidth="1"/>
    <col min="5378" max="5632" width="10" style="19"/>
    <col min="5633" max="5633" width="9.28515625" style="19" customWidth="1"/>
    <col min="5634" max="5888" width="10" style="19"/>
    <col min="5889" max="5889" width="9.28515625" style="19" customWidth="1"/>
    <col min="5890" max="6144" width="10" style="19"/>
    <col min="6145" max="6145" width="9.28515625" style="19" customWidth="1"/>
    <col min="6146" max="6400" width="10" style="19"/>
    <col min="6401" max="6401" width="9.28515625" style="19" customWidth="1"/>
    <col min="6402" max="6656" width="10" style="19"/>
    <col min="6657" max="6657" width="9.28515625" style="19" customWidth="1"/>
    <col min="6658" max="6912" width="10" style="19"/>
    <col min="6913" max="6913" width="9.28515625" style="19" customWidth="1"/>
    <col min="6914" max="7168" width="10" style="19"/>
    <col min="7169" max="7169" width="9.28515625" style="19" customWidth="1"/>
    <col min="7170" max="7424" width="10" style="19"/>
    <col min="7425" max="7425" width="9.28515625" style="19" customWidth="1"/>
    <col min="7426" max="7680" width="10" style="19"/>
    <col min="7681" max="7681" width="9.28515625" style="19" customWidth="1"/>
    <col min="7682" max="7936" width="10" style="19"/>
    <col min="7937" max="7937" width="9.28515625" style="19" customWidth="1"/>
    <col min="7938" max="8192" width="10" style="19"/>
    <col min="8193" max="8193" width="9.28515625" style="19" customWidth="1"/>
    <col min="8194" max="8448" width="10" style="19"/>
    <col min="8449" max="8449" width="9.28515625" style="19" customWidth="1"/>
    <col min="8450" max="8704" width="10" style="19"/>
    <col min="8705" max="8705" width="9.28515625" style="19" customWidth="1"/>
    <col min="8706" max="8960" width="10" style="19"/>
    <col min="8961" max="8961" width="9.28515625" style="19" customWidth="1"/>
    <col min="8962" max="9216" width="10" style="19"/>
    <col min="9217" max="9217" width="9.28515625" style="19" customWidth="1"/>
    <col min="9218" max="9472" width="10" style="19"/>
    <col min="9473" max="9473" width="9.28515625" style="19" customWidth="1"/>
    <col min="9474" max="9728" width="10" style="19"/>
    <col min="9729" max="9729" width="9.28515625" style="19" customWidth="1"/>
    <col min="9730" max="9984" width="10" style="19"/>
    <col min="9985" max="9985" width="9.28515625" style="19" customWidth="1"/>
    <col min="9986" max="10240" width="10" style="19"/>
    <col min="10241" max="10241" width="9.28515625" style="19" customWidth="1"/>
    <col min="10242" max="10496" width="10" style="19"/>
    <col min="10497" max="10497" width="9.28515625" style="19" customWidth="1"/>
    <col min="10498" max="10752" width="10" style="19"/>
    <col min="10753" max="10753" width="9.28515625" style="19" customWidth="1"/>
    <col min="10754" max="11008" width="10" style="19"/>
    <col min="11009" max="11009" width="9.28515625" style="19" customWidth="1"/>
    <col min="11010" max="11264" width="10" style="19"/>
    <col min="11265" max="11265" width="9.28515625" style="19" customWidth="1"/>
    <col min="11266" max="11520" width="10" style="19"/>
    <col min="11521" max="11521" width="9.28515625" style="19" customWidth="1"/>
    <col min="11522" max="11776" width="10" style="19"/>
    <col min="11777" max="11777" width="9.28515625" style="19" customWidth="1"/>
    <col min="11778" max="12032" width="10" style="19"/>
    <col min="12033" max="12033" width="9.28515625" style="19" customWidth="1"/>
    <col min="12034" max="12288" width="10" style="19"/>
    <col min="12289" max="12289" width="9.28515625" style="19" customWidth="1"/>
    <col min="12290" max="12544" width="10" style="19"/>
    <col min="12545" max="12545" width="9.28515625" style="19" customWidth="1"/>
    <col min="12546" max="12800" width="10" style="19"/>
    <col min="12801" max="12801" width="9.28515625" style="19" customWidth="1"/>
    <col min="12802" max="13056" width="10" style="19"/>
    <col min="13057" max="13057" width="9.28515625" style="19" customWidth="1"/>
    <col min="13058" max="13312" width="10" style="19"/>
    <col min="13313" max="13313" width="9.28515625" style="19" customWidth="1"/>
    <col min="13314" max="13568" width="10" style="19"/>
    <col min="13569" max="13569" width="9.28515625" style="19" customWidth="1"/>
    <col min="13570" max="13824" width="10" style="19"/>
    <col min="13825" max="13825" width="9.28515625" style="19" customWidth="1"/>
    <col min="13826" max="14080" width="10" style="19"/>
    <col min="14081" max="14081" width="9.28515625" style="19" customWidth="1"/>
    <col min="14082" max="14336" width="10" style="19"/>
    <col min="14337" max="14337" width="9.28515625" style="19" customWidth="1"/>
    <col min="14338" max="14592" width="10" style="19"/>
    <col min="14593" max="14593" width="9.28515625" style="19" customWidth="1"/>
    <col min="14594" max="14848" width="10" style="19"/>
    <col min="14849" max="14849" width="9.28515625" style="19" customWidth="1"/>
    <col min="14850" max="15104" width="10" style="19"/>
    <col min="15105" max="15105" width="9.28515625" style="19" customWidth="1"/>
    <col min="15106" max="15360" width="10" style="19"/>
    <col min="15361" max="15361" width="9.28515625" style="19" customWidth="1"/>
    <col min="15362" max="15616" width="10" style="19"/>
    <col min="15617" max="15617" width="9.28515625" style="19" customWidth="1"/>
    <col min="15618" max="15872" width="10" style="19"/>
    <col min="15873" max="15873" width="9.28515625" style="19" customWidth="1"/>
    <col min="15874" max="16128" width="10" style="19"/>
    <col min="16129" max="16129" width="9.28515625" style="19" customWidth="1"/>
    <col min="16130" max="16384" width="10" style="19"/>
  </cols>
  <sheetData>
    <row r="1" spans="1:28" s="61" customFormat="1" ht="20.100000000000001" customHeight="1">
      <c r="A1" s="60"/>
      <c r="B1" s="60"/>
      <c r="C1" s="60"/>
      <c r="D1" s="60"/>
      <c r="F1" s="60" t="s">
        <v>0</v>
      </c>
      <c r="G1" s="60"/>
      <c r="H1" s="60"/>
      <c r="I1" s="60"/>
      <c r="J1" s="60"/>
      <c r="K1" s="60"/>
      <c r="L1" s="60"/>
      <c r="M1" s="60"/>
      <c r="N1" s="60"/>
      <c r="O1" s="60"/>
    </row>
    <row r="2" spans="1:28">
      <c r="A2" s="62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28" ht="7.15" customHeight="1" thickBot="1"/>
    <row r="4" spans="1:28" ht="16.5" thickTop="1">
      <c r="A4" s="1" t="s">
        <v>2</v>
      </c>
      <c r="B4" s="1" t="s">
        <v>3</v>
      </c>
      <c r="C4" s="64"/>
      <c r="D4" s="64" t="s">
        <v>4</v>
      </c>
      <c r="E4" s="64" t="str">
        <f>+vehicles!E4</f>
        <v>N. Center St. - E. 5th Street</v>
      </c>
      <c r="F4" s="64"/>
      <c r="G4" s="64"/>
      <c r="H4" s="64"/>
      <c r="I4" s="2" t="s">
        <v>5</v>
      </c>
      <c r="J4" s="2"/>
      <c r="K4" s="65">
        <v>0.29166666666666702</v>
      </c>
      <c r="L4" s="66" t="s">
        <v>6</v>
      </c>
      <c r="M4" s="67">
        <v>0.375</v>
      </c>
      <c r="N4" s="68"/>
      <c r="O4" s="69"/>
      <c r="P4" s="69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</row>
    <row r="5" spans="1:28">
      <c r="A5" s="3" t="s">
        <v>2</v>
      </c>
      <c r="B5" s="4"/>
      <c r="C5" s="71"/>
      <c r="D5" s="71"/>
      <c r="E5" s="71"/>
      <c r="F5" s="71"/>
      <c r="G5" s="71"/>
      <c r="H5" s="71"/>
      <c r="I5" s="5" t="s">
        <v>7</v>
      </c>
      <c r="J5" s="5" t="s">
        <v>8</v>
      </c>
      <c r="K5" s="72">
        <f>+vehicles!K5</f>
        <v>40514</v>
      </c>
      <c r="L5" s="73"/>
      <c r="M5" s="73"/>
      <c r="N5" s="74"/>
      <c r="O5" s="75"/>
      <c r="P5" s="75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28" ht="16.5" thickBot="1">
      <c r="A6" s="6" t="s">
        <v>2</v>
      </c>
      <c r="B6" s="7"/>
      <c r="C6" s="8"/>
      <c r="D6" s="8"/>
      <c r="E6" s="8"/>
      <c r="F6" s="9"/>
      <c r="G6" s="8"/>
      <c r="H6" s="8"/>
      <c r="I6" s="10" t="s">
        <v>9</v>
      </c>
      <c r="J6" s="10"/>
      <c r="K6" s="11"/>
      <c r="L6" s="11"/>
      <c r="M6" s="12"/>
      <c r="N6" s="13"/>
      <c r="O6" s="14"/>
      <c r="P6" s="14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</row>
    <row r="7" spans="1:28" ht="16.5" thickTop="1">
      <c r="A7" s="15" t="s">
        <v>10</v>
      </c>
      <c r="B7" s="14"/>
      <c r="C7" s="16">
        <f>S64</f>
        <v>0.30208333333333298</v>
      </c>
      <c r="D7" s="17"/>
      <c r="E7" s="18" t="s">
        <v>6</v>
      </c>
      <c r="F7" s="16">
        <f>C7+60/1440</f>
        <v>0.34374999999999967</v>
      </c>
      <c r="G7" s="17"/>
      <c r="H7" s="14"/>
      <c r="I7" s="14"/>
      <c r="J7" s="14"/>
      <c r="K7" s="14"/>
      <c r="L7" s="14"/>
      <c r="M7" s="14"/>
      <c r="N7" s="76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</row>
    <row r="8" spans="1:28">
      <c r="A8" s="15" t="s">
        <v>11</v>
      </c>
      <c r="B8" s="14"/>
      <c r="C8" s="16">
        <f>F8-15/1440</f>
        <v>0.33333333333333304</v>
      </c>
      <c r="D8" s="17"/>
      <c r="E8" s="18" t="s">
        <v>6</v>
      </c>
      <c r="F8" s="16">
        <f>Q61</f>
        <v>0.34374999999999972</v>
      </c>
      <c r="G8" s="17"/>
      <c r="H8" s="14"/>
      <c r="I8" s="14"/>
      <c r="J8" s="14"/>
      <c r="K8" s="14"/>
      <c r="L8" s="14"/>
      <c r="M8" s="14"/>
      <c r="N8" s="76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8">
      <c r="A9" s="15"/>
      <c r="B9" s="14"/>
      <c r="C9" s="16"/>
      <c r="D9" s="20" t="str">
        <f>L29</f>
        <v>N. Center</v>
      </c>
      <c r="E9" s="21"/>
      <c r="F9" s="22"/>
      <c r="G9" s="17"/>
      <c r="H9" s="14"/>
      <c r="I9" s="14"/>
      <c r="J9" s="24" t="s">
        <v>12</v>
      </c>
      <c r="K9" s="77">
        <f>IF(L29="N/A","N/A",L77/(U61*4))</f>
        <v>0.54166666666666663</v>
      </c>
      <c r="L9" s="14"/>
      <c r="M9" s="14"/>
      <c r="N9" s="76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8">
      <c r="A10" s="78"/>
      <c r="B10" s="14"/>
      <c r="C10" s="70"/>
      <c r="D10" s="70"/>
      <c r="E10" s="70"/>
      <c r="F10" s="14"/>
      <c r="G10" s="14"/>
      <c r="H10" s="14"/>
      <c r="I10" s="14"/>
      <c r="J10" s="14"/>
      <c r="K10" s="14"/>
      <c r="L10" s="14"/>
      <c r="M10" s="14"/>
      <c r="N10" s="76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8" ht="30" customHeight="1">
      <c r="A11" s="78"/>
      <c r="B11" s="14"/>
      <c r="C11" s="79" t="str">
        <f>IF(L29="N/A","N/A",IF(C29="N/A","N/A",INDEX($B$63:$M$71,$R$64,12)))</f>
        <v/>
      </c>
      <c r="D11" s="23">
        <f>IF(L29="N/A","N/A",IF(I29="N/A","N/A",INDEX($B$63:$M$71,$R$64,11)))</f>
        <v>13</v>
      </c>
      <c r="E11" s="80" t="str">
        <f>IF(L29="N/A","N/A",IF(F29="N/A","N/A",INDEX($B$63:$M$71,$R$64,10)))</f>
        <v/>
      </c>
      <c r="F11" s="14"/>
      <c r="G11" s="14"/>
      <c r="H11" s="14"/>
      <c r="I11" s="70"/>
      <c r="J11" s="81">
        <f>IF(L29="N/A","N/A",L77)</f>
        <v>13</v>
      </c>
      <c r="K11" s="81">
        <f>IF(L29="N/A","N/A",L78)</f>
        <v>8</v>
      </c>
      <c r="L11" s="14"/>
      <c r="M11" s="14"/>
      <c r="N11" s="76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spans="1:28">
      <c r="A12" s="82"/>
      <c r="B12" s="24" t="str">
        <f>C29</f>
        <v>E. 5th Street</v>
      </c>
      <c r="C12" s="14"/>
      <c r="D12" s="14"/>
      <c r="E12" s="14"/>
      <c r="F12" s="14"/>
      <c r="G12" s="14"/>
      <c r="H12" s="24" t="s">
        <v>12</v>
      </c>
      <c r="I12" s="83">
        <f>IF(C29="N/A","N/A",C77/(R61*4))</f>
        <v>0.6</v>
      </c>
      <c r="J12" s="14"/>
      <c r="K12" s="14"/>
      <c r="L12" s="14"/>
      <c r="M12" s="14"/>
      <c r="N12" s="76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 spans="1:28">
      <c r="A13" s="78"/>
      <c r="B13" s="14"/>
      <c r="C13" s="14"/>
      <c r="D13" s="14"/>
      <c r="E13" s="14"/>
      <c r="F13" s="14"/>
      <c r="G13" s="70"/>
      <c r="H13" s="70"/>
      <c r="I13" s="70"/>
      <c r="J13" s="14"/>
      <c r="K13" s="14"/>
      <c r="L13" s="14"/>
      <c r="M13" s="14"/>
      <c r="N13" s="76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spans="1:28">
      <c r="A14" s="7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70"/>
      <c r="N14" s="76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spans="1:28">
      <c r="A15" s="78"/>
      <c r="B15" s="25" t="str">
        <f>IF(C29="N/A","N/A",IF(L29="N/A","N/A",INDEX($B$63:$M$71,$R$64,1)))</f>
        <v/>
      </c>
      <c r="C15" s="14"/>
      <c r="D15" s="14"/>
      <c r="E15" s="14"/>
      <c r="F15" s="25" t="str">
        <f>IF(F29="N/A","N/A",IF(L29="N/A","N/A",INDEX($B$63:$M$71,$R$64,6)))</f>
        <v/>
      </c>
      <c r="G15" s="14"/>
      <c r="H15" s="84">
        <f>IF(C29="N/A","N/A",C76)</f>
        <v>20</v>
      </c>
      <c r="I15" s="14"/>
      <c r="J15" s="14"/>
      <c r="K15" s="14"/>
      <c r="L15" s="70"/>
      <c r="M15" s="58">
        <f>IF(F29="N/A","N/A",F77)</f>
        <v>20</v>
      </c>
      <c r="N15" s="76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spans="1:28">
      <c r="A16" s="82"/>
      <c r="B16" s="70"/>
      <c r="C16" s="14"/>
      <c r="D16" s="20" t="s">
        <v>13</v>
      </c>
      <c r="E16" s="14"/>
      <c r="F16" s="70"/>
      <c r="G16" s="20"/>
      <c r="H16" s="84"/>
      <c r="I16" s="14"/>
      <c r="J16" s="14"/>
      <c r="K16" s="14"/>
      <c r="L16" s="70"/>
      <c r="M16" s="58"/>
      <c r="N16" s="85"/>
      <c r="O16" s="25"/>
      <c r="P16" s="25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spans="1:28">
      <c r="A17" s="82"/>
      <c r="B17" s="25">
        <f>IF(C29="N/A","N/A",IF(F29="N/A","N/A",INDEX($B$63:$M$71,$R$64,2)))</f>
        <v>12</v>
      </c>
      <c r="C17" s="14"/>
      <c r="D17" s="14"/>
      <c r="E17" s="14"/>
      <c r="F17" s="25">
        <f>IF(F29="N/A","N/A",IF(C29="N/A","N/A",INDEX($B$63:$M$71,$R$64,5)))</f>
        <v>20</v>
      </c>
      <c r="G17" s="70"/>
      <c r="H17" s="70"/>
      <c r="I17" s="14"/>
      <c r="J17" s="14"/>
      <c r="K17" s="14"/>
      <c r="L17" s="70"/>
      <c r="M17" s="70"/>
      <c r="N17" s="86"/>
      <c r="O17" s="87"/>
      <c r="P17" s="87"/>
    </row>
    <row r="18" spans="1:28">
      <c r="A18" s="82"/>
      <c r="B18" s="14"/>
      <c r="C18" s="14"/>
      <c r="D18" s="88">
        <f>R63</f>
        <v>53</v>
      </c>
      <c r="E18" s="14"/>
      <c r="F18" s="14"/>
      <c r="G18" s="14"/>
      <c r="H18" s="14"/>
      <c r="I18" s="14"/>
      <c r="J18" s="14"/>
      <c r="K18" s="14"/>
      <c r="L18" s="70"/>
      <c r="M18" s="70"/>
      <c r="N18" s="76"/>
    </row>
    <row r="19" spans="1:28">
      <c r="A19" s="78"/>
      <c r="B19" s="25" t="str">
        <f>IF(C29="N/A","N/A",IF(I29="N/A","N/A",INDEX($B$63:$M$71,$R$64,3)))</f>
        <v/>
      </c>
      <c r="C19" s="14"/>
      <c r="D19" s="14"/>
      <c r="E19" s="14"/>
      <c r="F19" s="25" t="str">
        <f>IF(F29="N/A","N/A",IF(I29="N/A","N/A",INDEX($B$63:$M$71,$R$64,4)))</f>
        <v/>
      </c>
      <c r="G19" s="14" t="s">
        <v>2</v>
      </c>
      <c r="H19" s="84">
        <f>IF(C29="N/A","N/A",C77)</f>
        <v>12</v>
      </c>
      <c r="I19" s="14"/>
      <c r="J19" s="14"/>
      <c r="K19" s="14"/>
      <c r="L19" s="70"/>
      <c r="M19" s="58">
        <f>IF(F29="N/A","N/A",F78)</f>
        <v>12</v>
      </c>
      <c r="N19" s="76"/>
    </row>
    <row r="20" spans="1:28">
      <c r="A20" s="78"/>
      <c r="B20" s="70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76"/>
    </row>
    <row r="21" spans="1:28">
      <c r="A21" s="78"/>
      <c r="B21" s="14"/>
      <c r="C21" s="14"/>
      <c r="D21" s="14"/>
      <c r="E21" s="14"/>
      <c r="F21" s="14"/>
      <c r="G21" s="14"/>
      <c r="H21" s="14"/>
      <c r="I21" s="14"/>
      <c r="J21" s="14"/>
      <c r="K21" s="70"/>
      <c r="L21" s="70"/>
      <c r="M21" s="70"/>
      <c r="N21" s="76"/>
    </row>
    <row r="22" spans="1:28">
      <c r="A22" s="78"/>
      <c r="B22" s="14"/>
      <c r="C22" s="14"/>
      <c r="D22" s="14"/>
      <c r="E22" s="14"/>
      <c r="F22" s="14" t="str">
        <f>F29</f>
        <v>E. 5th Street</v>
      </c>
      <c r="G22" s="14"/>
      <c r="H22" s="14"/>
      <c r="I22" s="14"/>
      <c r="J22" s="14"/>
      <c r="K22" s="14"/>
      <c r="L22" s="24" t="s">
        <v>12</v>
      </c>
      <c r="M22" s="83">
        <f>IF(F29="N/A","N/A",F77/(S61*4))</f>
        <v>0.7142857142857143</v>
      </c>
      <c r="N22" s="86"/>
    </row>
    <row r="23" spans="1:28" ht="30" customHeight="1">
      <c r="A23" s="78"/>
      <c r="B23" s="14"/>
      <c r="C23" s="79" t="str">
        <f>IF(I29="N/A","N/A",IF(C29="N/A","N/A",INDEX($B$63:$M$71,$R$64,7)))</f>
        <v/>
      </c>
      <c r="D23" s="23">
        <f>IF(I29="N/A","N/A",IF(L29="N/A","N/A",INDEX($B$63:$M$71,$R$64,8)))</f>
        <v>8</v>
      </c>
      <c r="E23" s="80" t="str">
        <f>IF(I29="N/A","N/A",IF(F29="N/A","N/A",INDEX($B$63:$M$71,$R$64,9)))</f>
        <v/>
      </c>
      <c r="F23" s="70"/>
      <c r="G23" s="17"/>
      <c r="H23" s="14"/>
      <c r="I23" s="14"/>
      <c r="J23" s="89">
        <f>IF(I29="N/A","N/A",I76)</f>
        <v>13</v>
      </c>
      <c r="K23" s="89">
        <f>IF(I29="N/A","N/A",I77)</f>
        <v>8</v>
      </c>
      <c r="L23" s="70"/>
      <c r="M23" s="14"/>
      <c r="N23" s="76"/>
    </row>
    <row r="24" spans="1:28">
      <c r="A24" s="78"/>
      <c r="B24" s="14"/>
      <c r="C24" s="70"/>
      <c r="D24" s="70"/>
      <c r="E24" s="70"/>
      <c r="F24" s="14"/>
      <c r="G24" s="14"/>
      <c r="H24" s="14"/>
      <c r="I24" s="14"/>
      <c r="J24" s="14"/>
      <c r="K24" s="14"/>
      <c r="L24" s="70"/>
      <c r="M24" s="70"/>
      <c r="N24" s="76"/>
    </row>
    <row r="25" spans="1:28">
      <c r="A25" s="78"/>
      <c r="B25" s="14"/>
      <c r="C25" s="17"/>
      <c r="D25" s="20" t="str">
        <f>I29</f>
        <v>N. Center</v>
      </c>
      <c r="E25" s="17"/>
      <c r="F25" s="70"/>
      <c r="G25" s="70"/>
      <c r="H25" s="14"/>
      <c r="I25" s="14"/>
      <c r="J25" s="20" t="s">
        <v>12</v>
      </c>
      <c r="K25" s="77">
        <f>IF(I29="N/A","N/A",I77/(T61*4))</f>
        <v>0.2857142857142857</v>
      </c>
      <c r="L25" s="14"/>
      <c r="M25" s="14"/>
      <c r="N25" s="76"/>
    </row>
    <row r="26" spans="1:28">
      <c r="A26" s="78"/>
      <c r="B26" s="17"/>
      <c r="C26" s="17"/>
      <c r="D26" s="17"/>
      <c r="E26" s="14"/>
      <c r="F26" s="17"/>
      <c r="G26" s="90" t="s">
        <v>14</v>
      </c>
      <c r="H26" s="91"/>
      <c r="I26" s="70"/>
      <c r="J26" s="70"/>
      <c r="K26" s="70"/>
      <c r="L26" s="14"/>
      <c r="M26" s="14"/>
      <c r="N26" s="76"/>
    </row>
    <row r="27" spans="1:28">
      <c r="A27" s="78" t="s">
        <v>15</v>
      </c>
      <c r="B27" s="14"/>
      <c r="C27" s="14"/>
      <c r="D27" s="14"/>
      <c r="E27" s="14" t="s">
        <v>16</v>
      </c>
      <c r="F27" s="14"/>
      <c r="G27" s="14"/>
      <c r="H27" s="14"/>
      <c r="I27" s="14"/>
      <c r="J27" s="14"/>
      <c r="K27" s="14"/>
      <c r="L27" s="14"/>
      <c r="M27" s="14"/>
      <c r="N27" s="76"/>
    </row>
    <row r="28" spans="1:28" ht="16.5" thickBot="1">
      <c r="A28" s="26" t="s">
        <v>17</v>
      </c>
      <c r="B28" s="70"/>
      <c r="C28" s="83">
        <f>R63/(V61*4)</f>
        <v>0.77941176470588236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76"/>
    </row>
    <row r="29" spans="1:28" s="59" customFormat="1" ht="16.5" thickTop="1">
      <c r="A29" s="1"/>
      <c r="B29" s="27"/>
      <c r="C29" s="28" t="str">
        <f>+vehicles!C29</f>
        <v>E. 5th Street</v>
      </c>
      <c r="D29" s="29"/>
      <c r="E29" s="27"/>
      <c r="F29" s="28" t="str">
        <f>+vehicles!F29</f>
        <v>E. 5th Street</v>
      </c>
      <c r="G29" s="29"/>
      <c r="H29" s="27"/>
      <c r="I29" s="28" t="str">
        <f>+vehicles!I29</f>
        <v>N. Center</v>
      </c>
      <c r="J29" s="29"/>
      <c r="K29" s="27"/>
      <c r="L29" s="28" t="str">
        <f>+vehicles!L29</f>
        <v>N. Center</v>
      </c>
      <c r="M29" s="29"/>
      <c r="N29" s="30"/>
      <c r="O29" s="92"/>
      <c r="P29" s="92"/>
    </row>
    <row r="30" spans="1:28">
      <c r="A30" s="31"/>
      <c r="B30" s="32"/>
      <c r="C30" s="33" t="s">
        <v>18</v>
      </c>
      <c r="D30" s="33"/>
      <c r="E30" s="34"/>
      <c r="F30" s="33" t="s">
        <v>19</v>
      </c>
      <c r="G30" s="33"/>
      <c r="H30" s="34"/>
      <c r="I30" s="33" t="s">
        <v>20</v>
      </c>
      <c r="J30" s="33"/>
      <c r="K30" s="34"/>
      <c r="L30" s="33" t="s">
        <v>21</v>
      </c>
      <c r="M30" s="33"/>
      <c r="N30" s="35"/>
      <c r="O30" s="14"/>
      <c r="P30" s="14"/>
      <c r="AB30" s="20"/>
    </row>
    <row r="31" spans="1:28" ht="16.5" thickBot="1">
      <c r="A31" s="99" t="s">
        <v>22</v>
      </c>
      <c r="B31" s="36" t="s">
        <v>2</v>
      </c>
      <c r="C31" s="37" t="s">
        <v>24</v>
      </c>
      <c r="D31" s="37" t="s">
        <v>2</v>
      </c>
      <c r="E31" s="36" t="s">
        <v>2</v>
      </c>
      <c r="F31" s="37" t="s">
        <v>24</v>
      </c>
      <c r="G31" s="37" t="s">
        <v>2</v>
      </c>
      <c r="H31" s="36" t="s">
        <v>2</v>
      </c>
      <c r="I31" s="37" t="s">
        <v>24</v>
      </c>
      <c r="J31" s="37" t="s">
        <v>2</v>
      </c>
      <c r="K31" s="36" t="s">
        <v>2</v>
      </c>
      <c r="L31" s="37" t="s">
        <v>24</v>
      </c>
      <c r="M31" s="37" t="s">
        <v>2</v>
      </c>
      <c r="N31" s="38"/>
      <c r="O31" s="14"/>
      <c r="P31" s="14"/>
    </row>
    <row r="32" spans="1:28" ht="16.5" thickTop="1">
      <c r="A32" s="39" t="s">
        <v>26</v>
      </c>
      <c r="B32" s="40" t="s">
        <v>27</v>
      </c>
      <c r="C32" s="41" t="s">
        <v>28</v>
      </c>
      <c r="D32" s="41" t="s">
        <v>29</v>
      </c>
      <c r="E32" s="40" t="s">
        <v>30</v>
      </c>
      <c r="F32" s="41" t="s">
        <v>31</v>
      </c>
      <c r="G32" s="41" t="s">
        <v>32</v>
      </c>
      <c r="H32" s="40" t="s">
        <v>33</v>
      </c>
      <c r="I32" s="41" t="s">
        <v>34</v>
      </c>
      <c r="J32" s="41" t="s">
        <v>35</v>
      </c>
      <c r="K32" s="40" t="s">
        <v>36</v>
      </c>
      <c r="L32" s="41" t="s">
        <v>37</v>
      </c>
      <c r="M32" s="41" t="s">
        <v>38</v>
      </c>
      <c r="N32" s="42" t="s">
        <v>13</v>
      </c>
      <c r="O32" s="41"/>
      <c r="P32" s="41"/>
    </row>
    <row r="33" spans="1:28">
      <c r="A33" s="43">
        <v>0.30208333333333298</v>
      </c>
      <c r="B33" s="44"/>
      <c r="C33" s="45">
        <v>6</v>
      </c>
      <c r="D33" s="45"/>
      <c r="E33" s="44"/>
      <c r="F33" s="45">
        <v>4</v>
      </c>
      <c r="G33" s="45"/>
      <c r="H33" s="44"/>
      <c r="I33" s="45">
        <v>0</v>
      </c>
      <c r="J33" s="45"/>
      <c r="K33" s="46"/>
      <c r="L33" s="45">
        <v>3</v>
      </c>
      <c r="M33" s="45"/>
      <c r="N33" s="47">
        <f t="shared" ref="N33:N40" si="0">IF(SUM(B33:M33)&lt;=0,"",SUM(B33:M33))</f>
        <v>13</v>
      </c>
      <c r="O33" s="20"/>
      <c r="P33" s="20"/>
      <c r="Q33" s="93"/>
    </row>
    <row r="34" spans="1:28">
      <c r="A34" s="43">
        <v>0.3125</v>
      </c>
      <c r="B34" s="44"/>
      <c r="C34" s="45">
        <v>7</v>
      </c>
      <c r="D34" s="45"/>
      <c r="E34" s="44"/>
      <c r="F34" s="45">
        <v>8</v>
      </c>
      <c r="G34" s="45"/>
      <c r="H34" s="44"/>
      <c r="I34" s="45">
        <v>0</v>
      </c>
      <c r="J34" s="45"/>
      <c r="K34" s="46"/>
      <c r="L34" s="45">
        <v>9</v>
      </c>
      <c r="M34" s="45"/>
      <c r="N34" s="47">
        <f t="shared" si="0"/>
        <v>24</v>
      </c>
      <c r="O34" s="20"/>
      <c r="P34" s="20"/>
      <c r="Q34" s="93"/>
    </row>
    <row r="35" spans="1:28">
      <c r="A35" s="43">
        <v>0.32291666666666702</v>
      </c>
      <c r="B35" s="44"/>
      <c r="C35" s="45">
        <v>10</v>
      </c>
      <c r="D35" s="45"/>
      <c r="E35" s="44"/>
      <c r="F35" s="45">
        <v>15</v>
      </c>
      <c r="G35" s="45"/>
      <c r="H35" s="44"/>
      <c r="I35" s="45">
        <v>1</v>
      </c>
      <c r="J35" s="45"/>
      <c r="K35" s="46"/>
      <c r="L35" s="45">
        <v>13</v>
      </c>
      <c r="M35" s="45"/>
      <c r="N35" s="47">
        <f t="shared" si="0"/>
        <v>39</v>
      </c>
      <c r="O35" s="20"/>
      <c r="P35" s="20"/>
      <c r="Q35" s="93"/>
    </row>
    <row r="36" spans="1:28" s="59" customFormat="1">
      <c r="A36" s="43">
        <v>0.33333333333333398</v>
      </c>
      <c r="B36" s="44"/>
      <c r="C36" s="45">
        <v>13</v>
      </c>
      <c r="D36" s="45"/>
      <c r="E36" s="44"/>
      <c r="F36" s="45">
        <v>20</v>
      </c>
      <c r="G36" s="45"/>
      <c r="H36" s="44"/>
      <c r="I36" s="45">
        <v>1</v>
      </c>
      <c r="J36" s="45"/>
      <c r="K36" s="46"/>
      <c r="L36" s="45">
        <v>15</v>
      </c>
      <c r="M36" s="45"/>
      <c r="N36" s="47">
        <f t="shared" si="0"/>
        <v>49</v>
      </c>
      <c r="O36" s="20"/>
      <c r="P36" s="20"/>
      <c r="Q36" s="93"/>
      <c r="R36" s="19"/>
      <c r="S36" s="19"/>
      <c r="T36" s="19"/>
      <c r="U36" s="19"/>
      <c r="V36" s="19"/>
      <c r="W36" s="19"/>
      <c r="AB36" s="19"/>
    </row>
    <row r="37" spans="1:28">
      <c r="A37" s="43">
        <v>0.343750000000001</v>
      </c>
      <c r="B37" s="44"/>
      <c r="C37" s="45">
        <v>18</v>
      </c>
      <c r="D37" s="45"/>
      <c r="E37" s="44"/>
      <c r="F37" s="45">
        <v>24</v>
      </c>
      <c r="G37" s="45"/>
      <c r="H37" s="44"/>
      <c r="I37" s="45">
        <v>8</v>
      </c>
      <c r="J37" s="45"/>
      <c r="K37" s="46"/>
      <c r="L37" s="45">
        <v>16</v>
      </c>
      <c r="M37" s="45"/>
      <c r="N37" s="47">
        <f t="shared" si="0"/>
        <v>66</v>
      </c>
      <c r="O37" s="20"/>
      <c r="P37" s="20"/>
      <c r="Q37" s="93"/>
    </row>
    <row r="38" spans="1:28">
      <c r="A38" s="43">
        <v>0.35416666666666802</v>
      </c>
      <c r="B38" s="44"/>
      <c r="C38" s="45">
        <v>20</v>
      </c>
      <c r="D38" s="45"/>
      <c r="E38" s="44"/>
      <c r="F38" s="45">
        <v>25</v>
      </c>
      <c r="G38" s="45"/>
      <c r="H38" s="44"/>
      <c r="I38" s="45">
        <v>11</v>
      </c>
      <c r="J38" s="45"/>
      <c r="K38" s="46"/>
      <c r="L38" s="45">
        <v>19</v>
      </c>
      <c r="M38" s="45"/>
      <c r="N38" s="47">
        <f t="shared" si="0"/>
        <v>75</v>
      </c>
      <c r="O38" s="20"/>
      <c r="P38" s="20"/>
      <c r="Q38" s="93"/>
    </row>
    <row r="39" spans="1:28">
      <c r="A39" s="43">
        <v>0.36458333333333498</v>
      </c>
      <c r="B39" s="44"/>
      <c r="C39" s="45">
        <v>25</v>
      </c>
      <c r="D39" s="45"/>
      <c r="E39" s="44"/>
      <c r="F39" s="45">
        <v>27</v>
      </c>
      <c r="G39" s="45"/>
      <c r="H39" s="44"/>
      <c r="I39" s="45">
        <v>12</v>
      </c>
      <c r="J39" s="45"/>
      <c r="K39" s="46"/>
      <c r="L39" s="45">
        <v>21</v>
      </c>
      <c r="M39" s="45"/>
      <c r="N39" s="47">
        <f t="shared" si="0"/>
        <v>85</v>
      </c>
      <c r="O39" s="20"/>
      <c r="P39" s="20"/>
      <c r="Q39" s="93"/>
    </row>
    <row r="40" spans="1:28">
      <c r="A40" s="43">
        <v>0.375000000000002</v>
      </c>
      <c r="B40" s="44"/>
      <c r="C40" s="45">
        <v>30</v>
      </c>
      <c r="D40" s="45"/>
      <c r="E40" s="44"/>
      <c r="F40" s="45">
        <v>31</v>
      </c>
      <c r="G40" s="45"/>
      <c r="H40" s="44"/>
      <c r="I40" s="45">
        <v>16</v>
      </c>
      <c r="J40" s="45"/>
      <c r="K40" s="46"/>
      <c r="L40" s="45">
        <v>24</v>
      </c>
      <c r="M40" s="45"/>
      <c r="N40" s="47">
        <f t="shared" si="0"/>
        <v>101</v>
      </c>
      <c r="O40" s="20"/>
      <c r="P40" s="20"/>
      <c r="Q40" s="93"/>
    </row>
    <row r="41" spans="1:28">
      <c r="A41" s="43"/>
      <c r="B41" s="48"/>
      <c r="C41" s="20"/>
      <c r="D41" s="20"/>
      <c r="E41" s="48"/>
      <c r="F41" s="20"/>
      <c r="G41" s="20"/>
      <c r="H41" s="48"/>
      <c r="I41" s="20"/>
      <c r="J41" s="20"/>
      <c r="K41" s="49"/>
      <c r="L41" s="20"/>
      <c r="M41" s="20"/>
      <c r="N41" s="47"/>
      <c r="O41" s="20"/>
      <c r="P41" s="20"/>
      <c r="Q41" s="93"/>
    </row>
    <row r="42" spans="1:28">
      <c r="A42" s="43"/>
      <c r="B42" s="48"/>
      <c r="C42" s="20"/>
      <c r="D42" s="20"/>
      <c r="E42" s="48"/>
      <c r="F42" s="20"/>
      <c r="G42" s="20"/>
      <c r="H42" s="48"/>
      <c r="I42" s="20"/>
      <c r="J42" s="20"/>
      <c r="K42" s="49"/>
      <c r="L42" s="20"/>
      <c r="M42" s="20"/>
      <c r="N42" s="47"/>
      <c r="O42" s="20"/>
      <c r="P42" s="20"/>
      <c r="Q42" s="93"/>
    </row>
    <row r="43" spans="1:28">
      <c r="A43" s="43"/>
      <c r="B43" s="48"/>
      <c r="C43" s="20"/>
      <c r="D43" s="20"/>
      <c r="E43" s="48"/>
      <c r="F43" s="20"/>
      <c r="G43" s="20"/>
      <c r="H43" s="48"/>
      <c r="I43" s="20"/>
      <c r="J43" s="20"/>
      <c r="K43" s="49"/>
      <c r="L43" s="20"/>
      <c r="M43" s="20"/>
      <c r="N43" s="47"/>
      <c r="O43" s="20"/>
      <c r="P43" s="20"/>
      <c r="Q43" s="93"/>
    </row>
    <row r="44" spans="1:28">
      <c r="A44" s="43"/>
      <c r="B44" s="48"/>
      <c r="C44" s="20"/>
      <c r="D44" s="20"/>
      <c r="E44" s="48"/>
      <c r="F44" s="20"/>
      <c r="G44" s="20"/>
      <c r="H44" s="48"/>
      <c r="I44" s="20"/>
      <c r="J44" s="20"/>
      <c r="K44" s="49"/>
      <c r="L44" s="20"/>
      <c r="M44" s="20"/>
      <c r="N44" s="47"/>
      <c r="O44" s="20"/>
      <c r="P44" s="20"/>
      <c r="Q44" s="93"/>
    </row>
    <row r="45" spans="1:28">
      <c r="A45" s="50"/>
      <c r="B45" s="48"/>
      <c r="C45" s="20"/>
      <c r="D45" s="20"/>
      <c r="E45" s="48"/>
      <c r="F45" s="20"/>
      <c r="G45" s="20"/>
      <c r="H45" s="48"/>
      <c r="I45" s="20"/>
      <c r="J45" s="20" t="s">
        <v>2</v>
      </c>
      <c r="K45" s="49" t="s">
        <v>2</v>
      </c>
      <c r="L45" s="20"/>
      <c r="M45" s="20"/>
      <c r="N45" s="47"/>
      <c r="O45" s="14"/>
      <c r="P45" s="14"/>
    </row>
    <row r="46" spans="1:28" ht="16.5" thickBot="1">
      <c r="A46" s="100" t="s">
        <v>39</v>
      </c>
      <c r="B46" s="51"/>
      <c r="C46" s="52"/>
      <c r="D46" s="52"/>
      <c r="E46" s="51"/>
      <c r="F46" s="52"/>
      <c r="G46" s="52"/>
      <c r="H46" s="51"/>
      <c r="I46" s="52"/>
      <c r="J46" s="52"/>
      <c r="K46" s="51" t="s">
        <v>2</v>
      </c>
      <c r="L46" s="52" t="s">
        <v>2</v>
      </c>
      <c r="M46" s="52"/>
      <c r="N46" s="53"/>
      <c r="O46" s="14"/>
      <c r="P46" s="14"/>
      <c r="R46" s="63" t="s">
        <v>40</v>
      </c>
      <c r="S46" s="63"/>
      <c r="T46" s="63"/>
      <c r="U46" s="63"/>
    </row>
    <row r="47" spans="1:28" ht="16.5" thickTop="1">
      <c r="A47" s="39" t="s">
        <v>26</v>
      </c>
      <c r="B47" s="40" t="s">
        <v>27</v>
      </c>
      <c r="C47" s="41" t="s">
        <v>28</v>
      </c>
      <c r="D47" s="41" t="s">
        <v>29</v>
      </c>
      <c r="E47" s="40" t="s">
        <v>30</v>
      </c>
      <c r="F47" s="41" t="s">
        <v>31</v>
      </c>
      <c r="G47" s="41" t="s">
        <v>32</v>
      </c>
      <c r="H47" s="40" t="s">
        <v>33</v>
      </c>
      <c r="I47" s="41" t="s">
        <v>34</v>
      </c>
      <c r="J47" s="41" t="s">
        <v>35</v>
      </c>
      <c r="K47" s="40" t="s">
        <v>36</v>
      </c>
      <c r="L47" s="41" t="s">
        <v>37</v>
      </c>
      <c r="M47" s="41" t="s">
        <v>38</v>
      </c>
      <c r="N47" s="42" t="s">
        <v>13</v>
      </c>
      <c r="O47" s="41"/>
      <c r="P47" s="41"/>
      <c r="Q47" s="93">
        <f>Q48-15/(60*24)</f>
        <v>0.2916666666666663</v>
      </c>
      <c r="R47" s="25" t="s">
        <v>41</v>
      </c>
      <c r="S47" s="25" t="s">
        <v>42</v>
      </c>
      <c r="T47" s="25" t="s">
        <v>43</v>
      </c>
      <c r="U47" s="25" t="s">
        <v>44</v>
      </c>
      <c r="V47" s="63" t="s">
        <v>45</v>
      </c>
    </row>
    <row r="48" spans="1:28">
      <c r="A48" s="43">
        <f>A33</f>
        <v>0.30208333333333298</v>
      </c>
      <c r="B48" s="48" t="str">
        <f>IF(B33="","",B33)</f>
        <v/>
      </c>
      <c r="C48" s="20">
        <f>IF(C33="","",C33)</f>
        <v>6</v>
      </c>
      <c r="D48" s="20" t="str">
        <f>IF(D33="","",D33)</f>
        <v/>
      </c>
      <c r="E48" s="48" t="str">
        <f t="shared" ref="E48:M48" si="1">IF(E33="","",E33)</f>
        <v/>
      </c>
      <c r="F48" s="20">
        <f t="shared" si="1"/>
        <v>4</v>
      </c>
      <c r="G48" s="20" t="str">
        <f t="shared" si="1"/>
        <v/>
      </c>
      <c r="H48" s="48" t="str">
        <f t="shared" si="1"/>
        <v/>
      </c>
      <c r="I48" s="20">
        <f t="shared" si="1"/>
        <v>0</v>
      </c>
      <c r="J48" s="20" t="str">
        <f t="shared" si="1"/>
        <v/>
      </c>
      <c r="K48" s="48" t="str">
        <f t="shared" si="1"/>
        <v/>
      </c>
      <c r="L48" s="20">
        <f t="shared" si="1"/>
        <v>3</v>
      </c>
      <c r="M48" s="20" t="str">
        <f t="shared" si="1"/>
        <v/>
      </c>
      <c r="N48" s="47">
        <f t="shared" ref="N48:N58" si="2">IF(SUM(B48:M48)&lt;=0,"",SUM(B48:M48))</f>
        <v>13</v>
      </c>
      <c r="O48" s="20"/>
      <c r="P48" s="20"/>
      <c r="Q48" s="93">
        <f t="shared" ref="Q48:Q59" si="3">$A48</f>
        <v>0.30208333333333298</v>
      </c>
      <c r="R48" s="25">
        <f t="shared" ref="R48:R59" si="4">SUM(B48:D48)</f>
        <v>6</v>
      </c>
      <c r="S48" s="25">
        <f t="shared" ref="S48:S59" si="5">SUM(E48:G48)</f>
        <v>4</v>
      </c>
      <c r="T48" s="25">
        <f t="shared" ref="T48:T59" si="6">SUM(H48:J48)</f>
        <v>0</v>
      </c>
      <c r="U48" s="25">
        <f t="shared" ref="U48:U59" si="7">SUM(K48:M48)</f>
        <v>3</v>
      </c>
      <c r="V48" s="25">
        <f t="shared" ref="V48:V59" si="8">SUM(R48:U48)</f>
        <v>13</v>
      </c>
      <c r="W48" s="94">
        <f>MATCH(S64,Q47:Q59,0)</f>
        <v>2</v>
      </c>
    </row>
    <row r="49" spans="1:23">
      <c r="A49" s="43">
        <f>IF(A34="","",A48+15/1440)</f>
        <v>0.31249999999999967</v>
      </c>
      <c r="B49" s="48" t="str">
        <f t="shared" ref="B49:M59" si="9">IF(B34="","",B34-B33)</f>
        <v/>
      </c>
      <c r="C49" s="20">
        <f t="shared" si="9"/>
        <v>1</v>
      </c>
      <c r="D49" s="20" t="str">
        <f t="shared" si="9"/>
        <v/>
      </c>
      <c r="E49" s="48" t="str">
        <f t="shared" si="9"/>
        <v/>
      </c>
      <c r="F49" s="20">
        <f t="shared" si="9"/>
        <v>4</v>
      </c>
      <c r="G49" s="20" t="str">
        <f t="shared" si="9"/>
        <v/>
      </c>
      <c r="H49" s="48" t="str">
        <f t="shared" si="9"/>
        <v/>
      </c>
      <c r="I49" s="20">
        <f t="shared" si="9"/>
        <v>0</v>
      </c>
      <c r="J49" s="20" t="str">
        <f t="shared" si="9"/>
        <v/>
      </c>
      <c r="K49" s="48" t="str">
        <f t="shared" si="9"/>
        <v/>
      </c>
      <c r="L49" s="20">
        <f t="shared" si="9"/>
        <v>6</v>
      </c>
      <c r="M49" s="20" t="str">
        <f t="shared" si="9"/>
        <v/>
      </c>
      <c r="N49" s="47">
        <f t="shared" si="2"/>
        <v>11</v>
      </c>
      <c r="O49" s="20"/>
      <c r="P49" s="20"/>
      <c r="Q49" s="93">
        <f t="shared" si="3"/>
        <v>0.31249999999999967</v>
      </c>
      <c r="R49" s="25">
        <f t="shared" si="4"/>
        <v>1</v>
      </c>
      <c r="S49" s="25">
        <f t="shared" si="5"/>
        <v>4</v>
      </c>
      <c r="T49" s="25">
        <f t="shared" si="6"/>
        <v>0</v>
      </c>
      <c r="U49" s="25">
        <f t="shared" si="7"/>
        <v>6</v>
      </c>
      <c r="V49" s="25">
        <f t="shared" si="8"/>
        <v>11</v>
      </c>
      <c r="W49" s="94">
        <f>W48+1</f>
        <v>3</v>
      </c>
    </row>
    <row r="50" spans="1:23">
      <c r="A50" s="43">
        <f t="shared" ref="A50:A59" si="10">IF(A35="","",A49+15/1440)</f>
        <v>0.32291666666666635</v>
      </c>
      <c r="B50" s="48" t="str">
        <f t="shared" si="9"/>
        <v/>
      </c>
      <c r="C50" s="20">
        <f t="shared" si="9"/>
        <v>3</v>
      </c>
      <c r="D50" s="20" t="str">
        <f t="shared" si="9"/>
        <v/>
      </c>
      <c r="E50" s="48" t="str">
        <f t="shared" si="9"/>
        <v/>
      </c>
      <c r="F50" s="20">
        <f t="shared" si="9"/>
        <v>7</v>
      </c>
      <c r="G50" s="20" t="str">
        <f t="shared" si="9"/>
        <v/>
      </c>
      <c r="H50" s="48" t="str">
        <f t="shared" si="9"/>
        <v/>
      </c>
      <c r="I50" s="20">
        <f t="shared" si="9"/>
        <v>1</v>
      </c>
      <c r="J50" s="20" t="str">
        <f t="shared" si="9"/>
        <v/>
      </c>
      <c r="K50" s="48" t="str">
        <f t="shared" si="9"/>
        <v/>
      </c>
      <c r="L50" s="20">
        <f t="shared" si="9"/>
        <v>4</v>
      </c>
      <c r="M50" s="20" t="str">
        <f t="shared" si="9"/>
        <v/>
      </c>
      <c r="N50" s="47">
        <f t="shared" si="2"/>
        <v>15</v>
      </c>
      <c r="O50" s="20"/>
      <c r="P50" s="20"/>
      <c r="Q50" s="93">
        <f t="shared" si="3"/>
        <v>0.32291666666666635</v>
      </c>
      <c r="R50" s="25">
        <f t="shared" si="4"/>
        <v>3</v>
      </c>
      <c r="S50" s="25">
        <f t="shared" si="5"/>
        <v>7</v>
      </c>
      <c r="T50" s="25">
        <f t="shared" si="6"/>
        <v>1</v>
      </c>
      <c r="U50" s="25">
        <f t="shared" si="7"/>
        <v>4</v>
      </c>
      <c r="V50" s="25">
        <f t="shared" si="8"/>
        <v>15</v>
      </c>
      <c r="W50" s="94">
        <f>W49+1</f>
        <v>4</v>
      </c>
    </row>
    <row r="51" spans="1:23">
      <c r="A51" s="43">
        <f t="shared" si="10"/>
        <v>0.33333333333333304</v>
      </c>
      <c r="B51" s="48" t="str">
        <f t="shared" si="9"/>
        <v/>
      </c>
      <c r="C51" s="20">
        <f t="shared" si="9"/>
        <v>3</v>
      </c>
      <c r="D51" s="20" t="str">
        <f t="shared" si="9"/>
        <v/>
      </c>
      <c r="E51" s="48" t="str">
        <f t="shared" si="9"/>
        <v/>
      </c>
      <c r="F51" s="20">
        <f t="shared" si="9"/>
        <v>5</v>
      </c>
      <c r="G51" s="20" t="str">
        <f t="shared" si="9"/>
        <v/>
      </c>
      <c r="H51" s="48" t="str">
        <f t="shared" si="9"/>
        <v/>
      </c>
      <c r="I51" s="20">
        <f t="shared" si="9"/>
        <v>0</v>
      </c>
      <c r="J51" s="20" t="str">
        <f t="shared" si="9"/>
        <v/>
      </c>
      <c r="K51" s="48" t="str">
        <f t="shared" si="9"/>
        <v/>
      </c>
      <c r="L51" s="20">
        <f t="shared" si="9"/>
        <v>2</v>
      </c>
      <c r="M51" s="20" t="str">
        <f t="shared" si="9"/>
        <v/>
      </c>
      <c r="N51" s="47">
        <f t="shared" si="2"/>
        <v>10</v>
      </c>
      <c r="O51" s="20"/>
      <c r="P51" s="20"/>
      <c r="Q51" s="93">
        <f t="shared" si="3"/>
        <v>0.33333333333333304</v>
      </c>
      <c r="R51" s="25">
        <f t="shared" si="4"/>
        <v>3</v>
      </c>
      <c r="S51" s="25">
        <f t="shared" si="5"/>
        <v>5</v>
      </c>
      <c r="T51" s="25">
        <f t="shared" si="6"/>
        <v>0</v>
      </c>
      <c r="U51" s="25">
        <f t="shared" si="7"/>
        <v>2</v>
      </c>
      <c r="V51" s="25">
        <f t="shared" si="8"/>
        <v>10</v>
      </c>
      <c r="W51" s="94">
        <f>W50+1</f>
        <v>5</v>
      </c>
    </row>
    <row r="52" spans="1:23">
      <c r="A52" s="43">
        <f t="shared" si="10"/>
        <v>0.34374999999999972</v>
      </c>
      <c r="B52" s="48" t="str">
        <f t="shared" si="9"/>
        <v/>
      </c>
      <c r="C52" s="20">
        <f t="shared" si="9"/>
        <v>5</v>
      </c>
      <c r="D52" s="20" t="str">
        <f t="shared" si="9"/>
        <v/>
      </c>
      <c r="E52" s="48" t="str">
        <f t="shared" si="9"/>
        <v/>
      </c>
      <c r="F52" s="20">
        <f t="shared" si="9"/>
        <v>4</v>
      </c>
      <c r="G52" s="20" t="str">
        <f t="shared" si="9"/>
        <v/>
      </c>
      <c r="H52" s="48" t="str">
        <f t="shared" si="9"/>
        <v/>
      </c>
      <c r="I52" s="20">
        <f t="shared" si="9"/>
        <v>7</v>
      </c>
      <c r="J52" s="20" t="str">
        <f t="shared" si="9"/>
        <v/>
      </c>
      <c r="K52" s="48" t="str">
        <f t="shared" si="9"/>
        <v/>
      </c>
      <c r="L52" s="20">
        <f t="shared" si="9"/>
        <v>1</v>
      </c>
      <c r="M52" s="20" t="str">
        <f t="shared" si="9"/>
        <v/>
      </c>
      <c r="N52" s="47">
        <f t="shared" si="2"/>
        <v>17</v>
      </c>
      <c r="O52" s="20"/>
      <c r="P52" s="20"/>
      <c r="Q52" s="93">
        <f t="shared" si="3"/>
        <v>0.34374999999999972</v>
      </c>
      <c r="R52" s="25">
        <f t="shared" si="4"/>
        <v>5</v>
      </c>
      <c r="S52" s="25">
        <f t="shared" si="5"/>
        <v>4</v>
      </c>
      <c r="T52" s="25">
        <f t="shared" si="6"/>
        <v>7</v>
      </c>
      <c r="U52" s="25">
        <f t="shared" si="7"/>
        <v>1</v>
      </c>
      <c r="V52" s="25">
        <f t="shared" si="8"/>
        <v>17</v>
      </c>
    </row>
    <row r="53" spans="1:23">
      <c r="A53" s="43">
        <f t="shared" si="10"/>
        <v>0.35416666666666641</v>
      </c>
      <c r="B53" s="48" t="str">
        <f t="shared" si="9"/>
        <v/>
      </c>
      <c r="C53" s="20">
        <f t="shared" si="9"/>
        <v>2</v>
      </c>
      <c r="D53" s="20" t="str">
        <f t="shared" si="9"/>
        <v/>
      </c>
      <c r="E53" s="48" t="str">
        <f t="shared" si="9"/>
        <v/>
      </c>
      <c r="F53" s="20">
        <f t="shared" si="9"/>
        <v>1</v>
      </c>
      <c r="G53" s="20" t="str">
        <f t="shared" si="9"/>
        <v/>
      </c>
      <c r="H53" s="48" t="str">
        <f t="shared" si="9"/>
        <v/>
      </c>
      <c r="I53" s="20">
        <f t="shared" si="9"/>
        <v>3</v>
      </c>
      <c r="J53" s="20" t="str">
        <f t="shared" si="9"/>
        <v/>
      </c>
      <c r="K53" s="48" t="str">
        <f t="shared" si="9"/>
        <v/>
      </c>
      <c r="L53" s="20">
        <f t="shared" si="9"/>
        <v>3</v>
      </c>
      <c r="M53" s="20" t="str">
        <f t="shared" si="9"/>
        <v/>
      </c>
      <c r="N53" s="47">
        <f t="shared" si="2"/>
        <v>9</v>
      </c>
      <c r="O53" s="20"/>
      <c r="P53" s="20"/>
      <c r="Q53" s="93">
        <f t="shared" si="3"/>
        <v>0.35416666666666641</v>
      </c>
      <c r="R53" s="25">
        <f t="shared" si="4"/>
        <v>2</v>
      </c>
      <c r="S53" s="25">
        <f t="shared" si="5"/>
        <v>1</v>
      </c>
      <c r="T53" s="25">
        <f t="shared" si="6"/>
        <v>3</v>
      </c>
      <c r="U53" s="25">
        <f t="shared" si="7"/>
        <v>3</v>
      </c>
      <c r="V53" s="25">
        <f t="shared" si="8"/>
        <v>9</v>
      </c>
    </row>
    <row r="54" spans="1:23">
      <c r="A54" s="43">
        <f t="shared" si="10"/>
        <v>0.36458333333333309</v>
      </c>
      <c r="B54" s="48" t="str">
        <f t="shared" si="9"/>
        <v/>
      </c>
      <c r="C54" s="20">
        <f t="shared" si="9"/>
        <v>5</v>
      </c>
      <c r="D54" s="20" t="str">
        <f t="shared" si="9"/>
        <v/>
      </c>
      <c r="E54" s="48" t="str">
        <f t="shared" si="9"/>
        <v/>
      </c>
      <c r="F54" s="20">
        <f t="shared" si="9"/>
        <v>2</v>
      </c>
      <c r="G54" s="20" t="str">
        <f t="shared" si="9"/>
        <v/>
      </c>
      <c r="H54" s="48" t="str">
        <f t="shared" si="9"/>
        <v/>
      </c>
      <c r="I54" s="20">
        <f t="shared" si="9"/>
        <v>1</v>
      </c>
      <c r="J54" s="20" t="str">
        <f t="shared" si="9"/>
        <v/>
      </c>
      <c r="K54" s="48" t="str">
        <f t="shared" si="9"/>
        <v/>
      </c>
      <c r="L54" s="20">
        <f t="shared" si="9"/>
        <v>2</v>
      </c>
      <c r="M54" s="20" t="str">
        <f t="shared" si="9"/>
        <v/>
      </c>
      <c r="N54" s="47">
        <f t="shared" si="2"/>
        <v>10</v>
      </c>
      <c r="O54" s="20"/>
      <c r="P54" s="20"/>
      <c r="Q54" s="93">
        <f t="shared" si="3"/>
        <v>0.36458333333333309</v>
      </c>
      <c r="R54" s="25">
        <f t="shared" si="4"/>
        <v>5</v>
      </c>
      <c r="S54" s="25">
        <f t="shared" si="5"/>
        <v>2</v>
      </c>
      <c r="T54" s="25">
        <f t="shared" si="6"/>
        <v>1</v>
      </c>
      <c r="U54" s="25">
        <f t="shared" si="7"/>
        <v>2</v>
      </c>
      <c r="V54" s="25">
        <f t="shared" si="8"/>
        <v>10</v>
      </c>
    </row>
    <row r="55" spans="1:23">
      <c r="A55" s="43">
        <f t="shared" si="10"/>
        <v>0.37499999999999978</v>
      </c>
      <c r="B55" s="48" t="str">
        <f t="shared" si="9"/>
        <v/>
      </c>
      <c r="C55" s="20">
        <f t="shared" si="9"/>
        <v>5</v>
      </c>
      <c r="D55" s="20" t="str">
        <f t="shared" si="9"/>
        <v/>
      </c>
      <c r="E55" s="48" t="str">
        <f t="shared" si="9"/>
        <v/>
      </c>
      <c r="F55" s="20">
        <f t="shared" si="9"/>
        <v>4</v>
      </c>
      <c r="G55" s="20" t="str">
        <f t="shared" si="9"/>
        <v/>
      </c>
      <c r="H55" s="48" t="str">
        <f t="shared" si="9"/>
        <v/>
      </c>
      <c r="I55" s="20">
        <f t="shared" si="9"/>
        <v>4</v>
      </c>
      <c r="J55" s="20" t="str">
        <f t="shared" si="9"/>
        <v/>
      </c>
      <c r="K55" s="48" t="str">
        <f t="shared" si="9"/>
        <v/>
      </c>
      <c r="L55" s="20">
        <f t="shared" si="9"/>
        <v>3</v>
      </c>
      <c r="M55" s="20" t="str">
        <f t="shared" si="9"/>
        <v/>
      </c>
      <c r="N55" s="47">
        <f t="shared" si="2"/>
        <v>16</v>
      </c>
      <c r="O55" s="20"/>
      <c r="P55" s="20"/>
      <c r="Q55" s="93">
        <f t="shared" si="3"/>
        <v>0.37499999999999978</v>
      </c>
      <c r="R55" s="25">
        <f t="shared" si="4"/>
        <v>5</v>
      </c>
      <c r="S55" s="25">
        <f t="shared" si="5"/>
        <v>4</v>
      </c>
      <c r="T55" s="25">
        <f t="shared" si="6"/>
        <v>4</v>
      </c>
      <c r="U55" s="25">
        <f t="shared" si="7"/>
        <v>3</v>
      </c>
      <c r="V55" s="25">
        <f t="shared" si="8"/>
        <v>16</v>
      </c>
    </row>
    <row r="56" spans="1:23">
      <c r="A56" s="43" t="str">
        <f t="shared" si="10"/>
        <v/>
      </c>
      <c r="B56" s="48" t="str">
        <f t="shared" si="9"/>
        <v/>
      </c>
      <c r="C56" s="20" t="str">
        <f t="shared" si="9"/>
        <v/>
      </c>
      <c r="D56" s="20" t="str">
        <f t="shared" si="9"/>
        <v/>
      </c>
      <c r="E56" s="48" t="str">
        <f t="shared" si="9"/>
        <v/>
      </c>
      <c r="F56" s="20" t="str">
        <f t="shared" si="9"/>
        <v/>
      </c>
      <c r="G56" s="20" t="str">
        <f t="shared" si="9"/>
        <v/>
      </c>
      <c r="H56" s="48" t="str">
        <f t="shared" si="9"/>
        <v/>
      </c>
      <c r="I56" s="20" t="str">
        <f t="shared" si="9"/>
        <v/>
      </c>
      <c r="J56" s="20" t="str">
        <f t="shared" si="9"/>
        <v/>
      </c>
      <c r="K56" s="48" t="str">
        <f t="shared" si="9"/>
        <v/>
      </c>
      <c r="L56" s="20" t="str">
        <f t="shared" si="9"/>
        <v/>
      </c>
      <c r="M56" s="20" t="str">
        <f t="shared" si="9"/>
        <v/>
      </c>
      <c r="N56" s="47" t="str">
        <f t="shared" si="2"/>
        <v/>
      </c>
      <c r="O56" s="20"/>
      <c r="P56" s="20"/>
      <c r="Q56" s="93" t="str">
        <f t="shared" si="3"/>
        <v/>
      </c>
      <c r="R56" s="25">
        <f t="shared" si="4"/>
        <v>0</v>
      </c>
      <c r="S56" s="25">
        <f t="shared" si="5"/>
        <v>0</v>
      </c>
      <c r="T56" s="25">
        <f t="shared" si="6"/>
        <v>0</v>
      </c>
      <c r="U56" s="25">
        <f t="shared" si="7"/>
        <v>0</v>
      </c>
      <c r="V56" s="25">
        <f t="shared" si="8"/>
        <v>0</v>
      </c>
    </row>
    <row r="57" spans="1:23">
      <c r="A57" s="43" t="str">
        <f t="shared" si="10"/>
        <v/>
      </c>
      <c r="B57" s="48" t="str">
        <f t="shared" si="9"/>
        <v/>
      </c>
      <c r="C57" s="20" t="str">
        <f t="shared" si="9"/>
        <v/>
      </c>
      <c r="D57" s="20" t="str">
        <f t="shared" si="9"/>
        <v/>
      </c>
      <c r="E57" s="48" t="str">
        <f t="shared" si="9"/>
        <v/>
      </c>
      <c r="F57" s="20" t="str">
        <f t="shared" si="9"/>
        <v/>
      </c>
      <c r="G57" s="20" t="str">
        <f t="shared" si="9"/>
        <v/>
      </c>
      <c r="H57" s="48" t="str">
        <f t="shared" si="9"/>
        <v/>
      </c>
      <c r="I57" s="20" t="str">
        <f t="shared" si="9"/>
        <v/>
      </c>
      <c r="J57" s="20" t="str">
        <f t="shared" si="9"/>
        <v/>
      </c>
      <c r="K57" s="48" t="str">
        <f t="shared" si="9"/>
        <v/>
      </c>
      <c r="L57" s="20" t="str">
        <f t="shared" si="9"/>
        <v/>
      </c>
      <c r="M57" s="20" t="str">
        <f t="shared" si="9"/>
        <v/>
      </c>
      <c r="N57" s="47" t="str">
        <f t="shared" si="2"/>
        <v/>
      </c>
      <c r="O57" s="20"/>
      <c r="P57" s="20"/>
      <c r="Q57" s="93" t="str">
        <f t="shared" si="3"/>
        <v/>
      </c>
      <c r="R57" s="25">
        <f t="shared" si="4"/>
        <v>0</v>
      </c>
      <c r="S57" s="25">
        <f t="shared" si="5"/>
        <v>0</v>
      </c>
      <c r="T57" s="25">
        <f t="shared" si="6"/>
        <v>0</v>
      </c>
      <c r="U57" s="25">
        <f t="shared" si="7"/>
        <v>0</v>
      </c>
      <c r="V57" s="25">
        <f t="shared" si="8"/>
        <v>0</v>
      </c>
    </row>
    <row r="58" spans="1:23">
      <c r="A58" s="43" t="str">
        <f t="shared" si="10"/>
        <v/>
      </c>
      <c r="B58" s="48" t="str">
        <f t="shared" si="9"/>
        <v/>
      </c>
      <c r="C58" s="20" t="str">
        <f t="shared" si="9"/>
        <v/>
      </c>
      <c r="D58" s="20" t="str">
        <f t="shared" si="9"/>
        <v/>
      </c>
      <c r="E58" s="48" t="str">
        <f t="shared" si="9"/>
        <v/>
      </c>
      <c r="F58" s="20" t="str">
        <f t="shared" si="9"/>
        <v/>
      </c>
      <c r="G58" s="20" t="str">
        <f t="shared" si="9"/>
        <v/>
      </c>
      <c r="H58" s="48" t="str">
        <f t="shared" si="9"/>
        <v/>
      </c>
      <c r="I58" s="20" t="str">
        <f t="shared" si="9"/>
        <v/>
      </c>
      <c r="J58" s="20" t="str">
        <f t="shared" si="9"/>
        <v/>
      </c>
      <c r="K58" s="48" t="str">
        <f t="shared" si="9"/>
        <v/>
      </c>
      <c r="L58" s="20" t="str">
        <f t="shared" si="9"/>
        <v/>
      </c>
      <c r="M58" s="20" t="str">
        <f t="shared" si="9"/>
        <v/>
      </c>
      <c r="N58" s="47" t="str">
        <f t="shared" si="2"/>
        <v/>
      </c>
      <c r="O58" s="20"/>
      <c r="P58" s="20"/>
      <c r="Q58" s="93" t="str">
        <f t="shared" si="3"/>
        <v/>
      </c>
      <c r="R58" s="25">
        <f t="shared" si="4"/>
        <v>0</v>
      </c>
      <c r="S58" s="25">
        <f t="shared" si="5"/>
        <v>0</v>
      </c>
      <c r="T58" s="25">
        <f t="shared" si="6"/>
        <v>0</v>
      </c>
      <c r="U58" s="25">
        <f t="shared" si="7"/>
        <v>0</v>
      </c>
      <c r="V58" s="25">
        <f t="shared" si="8"/>
        <v>0</v>
      </c>
    </row>
    <row r="59" spans="1:23">
      <c r="A59" s="43" t="str">
        <f t="shared" si="10"/>
        <v/>
      </c>
      <c r="B59" s="48" t="str">
        <f t="shared" si="9"/>
        <v/>
      </c>
      <c r="C59" s="20" t="str">
        <f t="shared" si="9"/>
        <v/>
      </c>
      <c r="D59" s="20" t="str">
        <f t="shared" si="9"/>
        <v/>
      </c>
      <c r="E59" s="48" t="str">
        <f t="shared" si="9"/>
        <v/>
      </c>
      <c r="F59" s="20" t="str">
        <f t="shared" si="9"/>
        <v/>
      </c>
      <c r="G59" s="20" t="str">
        <f t="shared" si="9"/>
        <v/>
      </c>
      <c r="H59" s="48" t="str">
        <f t="shared" si="9"/>
        <v/>
      </c>
      <c r="I59" s="20" t="str">
        <f t="shared" si="9"/>
        <v/>
      </c>
      <c r="J59" s="20" t="str">
        <f t="shared" si="9"/>
        <v/>
      </c>
      <c r="K59" s="48" t="str">
        <f t="shared" si="9"/>
        <v/>
      </c>
      <c r="L59" s="20" t="str">
        <f t="shared" si="9"/>
        <v/>
      </c>
      <c r="M59" s="20" t="str">
        <f t="shared" si="9"/>
        <v/>
      </c>
      <c r="N59" s="47" t="str">
        <f>IF(SUM(B59:M59)&lt;=0,"",SUM(B59:M59))</f>
        <v/>
      </c>
      <c r="O59" s="20"/>
      <c r="P59" s="20"/>
      <c r="Q59" s="93" t="str">
        <f t="shared" si="3"/>
        <v/>
      </c>
      <c r="R59" s="25">
        <f t="shared" si="4"/>
        <v>0</v>
      </c>
      <c r="S59" s="25">
        <f t="shared" si="5"/>
        <v>0</v>
      </c>
      <c r="T59" s="25">
        <f t="shared" si="6"/>
        <v>0</v>
      </c>
      <c r="U59" s="25">
        <f t="shared" si="7"/>
        <v>0</v>
      </c>
      <c r="V59" s="25">
        <f t="shared" si="8"/>
        <v>0</v>
      </c>
    </row>
    <row r="60" spans="1:23">
      <c r="A60" s="50"/>
      <c r="B60" s="48"/>
      <c r="C60" s="20"/>
      <c r="D60" s="20"/>
      <c r="E60" s="48"/>
      <c r="F60" s="20"/>
      <c r="G60" s="20"/>
      <c r="H60" s="48"/>
      <c r="I60" s="20"/>
      <c r="J60" s="20"/>
      <c r="K60" s="48"/>
      <c r="L60" s="20"/>
      <c r="M60" s="20"/>
      <c r="N60" s="47"/>
      <c r="O60" s="14"/>
      <c r="P60" s="14"/>
    </row>
    <row r="61" spans="1:23" ht="16.5" thickBot="1">
      <c r="A61" s="100" t="s">
        <v>46</v>
      </c>
      <c r="B61" s="51"/>
      <c r="C61" s="52"/>
      <c r="D61" s="52"/>
      <c r="E61" s="51"/>
      <c r="F61" s="52"/>
      <c r="G61" s="52"/>
      <c r="H61" s="51"/>
      <c r="I61" s="52"/>
      <c r="J61" s="52"/>
      <c r="K61" s="51"/>
      <c r="L61" s="52"/>
      <c r="M61" s="52"/>
      <c r="N61" s="53"/>
      <c r="O61" s="14"/>
      <c r="P61" s="14"/>
      <c r="Q61" s="95">
        <f>INDEX(Q48:Q58,W61,1)</f>
        <v>0.34374999999999972</v>
      </c>
      <c r="R61" s="25">
        <f>MAX(INDEX(R48:V59,W48,1),INDEX(R48:V59,W49,1),INDEX(R48:V59,W50,1),INDEX(R48:V59,W51,1))</f>
        <v>5</v>
      </c>
      <c r="S61" s="25">
        <f>MAX(INDEX(R48:V59,W48,2),INDEX(R48:V59,W49,2),INDEX(R48:V59,W50,2),INDEX(R48:V59,W51,2))</f>
        <v>7</v>
      </c>
      <c r="T61" s="25">
        <f>MAX(INDEX(R48:V59,W48,3),INDEX(R48:V59,W49,3),INDEX(R48:V59,W50,3),INDEX(R48:V59,W51,3))</f>
        <v>7</v>
      </c>
      <c r="U61" s="25">
        <f>MAX(INDEX(R48:V59,W48,4),INDEX(R48:V59,W49,4),INDEX(R48:V59,W50,4),INDEX(R48:V59,W51,4))</f>
        <v>6</v>
      </c>
      <c r="V61" s="25">
        <f>MAX(INDEX(V48:V59,W48,1),INDEX(V48:V59,W49,1),INDEX(V48:V59,W50,1),INDEX(V48:V59,W51,1))</f>
        <v>17</v>
      </c>
      <c r="W61" s="19">
        <f>MATCH(V61,V48:V59,0)</f>
        <v>5</v>
      </c>
    </row>
    <row r="62" spans="1:23" ht="16.5" thickTop="1">
      <c r="A62" s="39" t="s">
        <v>47</v>
      </c>
      <c r="B62" s="40" t="s">
        <v>27</v>
      </c>
      <c r="C62" s="41" t="s">
        <v>28</v>
      </c>
      <c r="D62" s="41" t="s">
        <v>29</v>
      </c>
      <c r="E62" s="40" t="s">
        <v>30</v>
      </c>
      <c r="F62" s="41" t="s">
        <v>31</v>
      </c>
      <c r="G62" s="41" t="s">
        <v>32</v>
      </c>
      <c r="H62" s="40" t="s">
        <v>33</v>
      </c>
      <c r="I62" s="41" t="s">
        <v>34</v>
      </c>
      <c r="J62" s="41" t="s">
        <v>35</v>
      </c>
      <c r="K62" s="40" t="s">
        <v>36</v>
      </c>
      <c r="L62" s="41" t="s">
        <v>37</v>
      </c>
      <c r="M62" s="41" t="s">
        <v>38</v>
      </c>
      <c r="N62" s="42" t="s">
        <v>13</v>
      </c>
      <c r="O62" s="41"/>
      <c r="P62" s="41"/>
    </row>
    <row r="63" spans="1:23">
      <c r="A63" s="43">
        <f>A33-15/1440</f>
        <v>0.2916666666666663</v>
      </c>
      <c r="B63" s="48" t="s">
        <v>2</v>
      </c>
      <c r="C63" s="20">
        <f t="shared" ref="C63:M63" si="11">IF(C33="","",IF($A$63&lt;&gt;"",SUM(C48:C51),""))</f>
        <v>13</v>
      </c>
      <c r="D63" s="20" t="str">
        <f t="shared" si="11"/>
        <v/>
      </c>
      <c r="E63" s="48" t="str">
        <f t="shared" si="11"/>
        <v/>
      </c>
      <c r="F63" s="20">
        <f t="shared" si="11"/>
        <v>20</v>
      </c>
      <c r="G63" s="20" t="str">
        <f t="shared" si="11"/>
        <v/>
      </c>
      <c r="H63" s="48" t="str">
        <f t="shared" si="11"/>
        <v/>
      </c>
      <c r="I63" s="20">
        <f t="shared" si="11"/>
        <v>1</v>
      </c>
      <c r="J63" s="20" t="str">
        <f t="shared" si="11"/>
        <v/>
      </c>
      <c r="K63" s="48" t="str">
        <f t="shared" si="11"/>
        <v/>
      </c>
      <c r="L63" s="20">
        <f t="shared" si="11"/>
        <v>15</v>
      </c>
      <c r="M63" s="20" t="str">
        <f t="shared" si="11"/>
        <v/>
      </c>
      <c r="N63" s="47">
        <f t="shared" ref="N63:N71" si="12">IF(SUM(B63:M63)&lt;=0,"",SUM(B63:M63))</f>
        <v>49</v>
      </c>
      <c r="O63" s="20"/>
      <c r="P63" s="20"/>
      <c r="Q63" s="93">
        <f t="shared" ref="Q63:Q71" si="13">$A63</f>
        <v>0.2916666666666663</v>
      </c>
      <c r="R63" s="19">
        <f>MAX(N63:N71)</f>
        <v>53</v>
      </c>
    </row>
    <row r="64" spans="1:23" s="59" customFormat="1">
      <c r="A64" s="43">
        <f t="shared" ref="A64:A71" si="14">IF(A63="","",IF(A52="","",A63+15/1440))</f>
        <v>0.30208333333333298</v>
      </c>
      <c r="B64" s="48" t="str">
        <f>IF($A$64="","",IF(B52&lt;&gt;"",SUM(B49:B52),""))</f>
        <v/>
      </c>
      <c r="C64" s="20">
        <f>IF($A$64="","",IF(C52&lt;&gt;"",SUM(C49:C52),""))</f>
        <v>12</v>
      </c>
      <c r="D64" s="20" t="str">
        <f t="shared" ref="D64:M64" si="15">IF($A$64="","",IF(D52&lt;&gt;"",SUM(D49:D52),""))</f>
        <v/>
      </c>
      <c r="E64" s="48" t="str">
        <f t="shared" si="15"/>
        <v/>
      </c>
      <c r="F64" s="20">
        <f t="shared" si="15"/>
        <v>20</v>
      </c>
      <c r="G64" s="20" t="str">
        <f t="shared" si="15"/>
        <v/>
      </c>
      <c r="H64" s="48" t="str">
        <f t="shared" si="15"/>
        <v/>
      </c>
      <c r="I64" s="20">
        <f t="shared" si="15"/>
        <v>8</v>
      </c>
      <c r="J64" s="20" t="str">
        <f t="shared" si="15"/>
        <v/>
      </c>
      <c r="K64" s="48" t="str">
        <f t="shared" si="15"/>
        <v/>
      </c>
      <c r="L64" s="20">
        <f t="shared" si="15"/>
        <v>13</v>
      </c>
      <c r="M64" s="20" t="str">
        <f t="shared" si="15"/>
        <v/>
      </c>
      <c r="N64" s="47">
        <f t="shared" si="12"/>
        <v>53</v>
      </c>
      <c r="O64" s="20"/>
      <c r="P64" s="20"/>
      <c r="Q64" s="93">
        <f t="shared" si="13"/>
        <v>0.30208333333333298</v>
      </c>
      <c r="R64" s="19">
        <f>MATCH(R63,N63:N71,0)</f>
        <v>2</v>
      </c>
      <c r="S64" s="93">
        <f>INDEX(Q63:Q71,R64,1)</f>
        <v>0.30208333333333298</v>
      </c>
      <c r="T64" s="19"/>
    </row>
    <row r="65" spans="1:20">
      <c r="A65" s="43">
        <f t="shared" si="14"/>
        <v>0.31249999999999967</v>
      </c>
      <c r="B65" s="48" t="str">
        <f>IF($A$65="","",IF(B53&lt;&gt;"",SUM(B50:B53),""))</f>
        <v/>
      </c>
      <c r="C65" s="20">
        <f>IF($A$65="","",IF(C53&lt;&gt;"",SUM(C50:C53),""))</f>
        <v>13</v>
      </c>
      <c r="D65" s="20" t="str">
        <f t="shared" ref="D65:M65" si="16">IF($A$65="","",IF(D53&lt;&gt;"",SUM(D50:D53),""))</f>
        <v/>
      </c>
      <c r="E65" s="48" t="str">
        <f t="shared" si="16"/>
        <v/>
      </c>
      <c r="F65" s="20">
        <f t="shared" si="16"/>
        <v>17</v>
      </c>
      <c r="G65" s="20" t="str">
        <f t="shared" si="16"/>
        <v/>
      </c>
      <c r="H65" s="48" t="str">
        <f t="shared" si="16"/>
        <v/>
      </c>
      <c r="I65" s="20">
        <f t="shared" si="16"/>
        <v>11</v>
      </c>
      <c r="J65" s="20" t="str">
        <f t="shared" si="16"/>
        <v/>
      </c>
      <c r="K65" s="48" t="str">
        <f t="shared" si="16"/>
        <v/>
      </c>
      <c r="L65" s="20">
        <f t="shared" si="16"/>
        <v>10</v>
      </c>
      <c r="M65" s="20" t="str">
        <f t="shared" si="16"/>
        <v/>
      </c>
      <c r="N65" s="47">
        <f t="shared" si="12"/>
        <v>51</v>
      </c>
      <c r="O65" s="20"/>
      <c r="P65" s="20"/>
      <c r="Q65" s="93">
        <f t="shared" si="13"/>
        <v>0.31249999999999967</v>
      </c>
    </row>
    <row r="66" spans="1:20">
      <c r="A66" s="43">
        <f t="shared" si="14"/>
        <v>0.32291666666666635</v>
      </c>
      <c r="B66" s="48" t="str">
        <f>IF($A$64="","",IF(B54&lt;&gt;"",SUM(B51:B54),""))</f>
        <v/>
      </c>
      <c r="C66" s="20">
        <f>IF($A$64="","",IF(C54&lt;&gt;"",SUM(C51:C54),""))</f>
        <v>15</v>
      </c>
      <c r="D66" s="20" t="str">
        <f t="shared" ref="D66:M66" si="17">IF($A$64="","",IF(D54&lt;&gt;"",SUM(D51:D54),""))</f>
        <v/>
      </c>
      <c r="E66" s="48" t="str">
        <f t="shared" si="17"/>
        <v/>
      </c>
      <c r="F66" s="20">
        <f t="shared" si="17"/>
        <v>12</v>
      </c>
      <c r="G66" s="20" t="str">
        <f t="shared" si="17"/>
        <v/>
      </c>
      <c r="H66" s="48" t="str">
        <f t="shared" si="17"/>
        <v/>
      </c>
      <c r="I66" s="20">
        <f t="shared" si="17"/>
        <v>11</v>
      </c>
      <c r="J66" s="20" t="str">
        <f t="shared" si="17"/>
        <v/>
      </c>
      <c r="K66" s="48" t="str">
        <f t="shared" si="17"/>
        <v/>
      </c>
      <c r="L66" s="20">
        <f t="shared" si="17"/>
        <v>8</v>
      </c>
      <c r="M66" s="20" t="str">
        <f t="shared" si="17"/>
        <v/>
      </c>
      <c r="N66" s="47">
        <f>IF(SUM(B66:M66)&lt;=0,"",SUM(B66:M66))</f>
        <v>46</v>
      </c>
      <c r="O66" s="20"/>
      <c r="P66" s="20"/>
      <c r="Q66" s="93">
        <f t="shared" si="13"/>
        <v>0.32291666666666635</v>
      </c>
    </row>
    <row r="67" spans="1:20">
      <c r="A67" s="43">
        <f t="shared" si="14"/>
        <v>0.33333333333333304</v>
      </c>
      <c r="B67" s="48" t="str">
        <f>IF($A$65="","",IF(B55&lt;&gt;"",SUM(B52:B55),""))</f>
        <v/>
      </c>
      <c r="C67" s="20">
        <f>IF($A$65="","",IF(C55&lt;&gt;"",SUM(C52:C55),""))</f>
        <v>17</v>
      </c>
      <c r="D67" s="20" t="str">
        <f t="shared" ref="D67:M67" si="18">IF($A$65="","",IF(D55&lt;&gt;"",SUM(D52:D55),""))</f>
        <v/>
      </c>
      <c r="E67" s="48" t="str">
        <f t="shared" si="18"/>
        <v/>
      </c>
      <c r="F67" s="20">
        <f t="shared" si="18"/>
        <v>11</v>
      </c>
      <c r="G67" s="20" t="str">
        <f t="shared" si="18"/>
        <v/>
      </c>
      <c r="H67" s="48" t="str">
        <f t="shared" si="18"/>
        <v/>
      </c>
      <c r="I67" s="20">
        <f t="shared" si="18"/>
        <v>15</v>
      </c>
      <c r="J67" s="20" t="str">
        <f t="shared" si="18"/>
        <v/>
      </c>
      <c r="K67" s="48" t="str">
        <f t="shared" si="18"/>
        <v/>
      </c>
      <c r="L67" s="20">
        <f t="shared" si="18"/>
        <v>9</v>
      </c>
      <c r="M67" s="20" t="str">
        <f t="shared" si="18"/>
        <v/>
      </c>
      <c r="N67" s="47">
        <f>IF(SUM(B67:M67)&lt;=0,"",SUM(B67:M67))</f>
        <v>52</v>
      </c>
      <c r="O67" s="20"/>
      <c r="P67" s="20"/>
      <c r="Q67" s="93">
        <f t="shared" si="13"/>
        <v>0.33333333333333304</v>
      </c>
    </row>
    <row r="68" spans="1:20">
      <c r="A68" s="43" t="str">
        <f t="shared" si="14"/>
        <v/>
      </c>
      <c r="B68" s="48" t="str">
        <f t="shared" ref="B68:M68" si="19">IF(B56&lt;&gt;"",SUM(B53:B56),"")</f>
        <v/>
      </c>
      <c r="C68" s="20" t="str">
        <f t="shared" si="19"/>
        <v/>
      </c>
      <c r="D68" s="20" t="str">
        <f t="shared" si="19"/>
        <v/>
      </c>
      <c r="E68" s="48" t="str">
        <f t="shared" si="19"/>
        <v/>
      </c>
      <c r="F68" s="20" t="str">
        <f t="shared" si="19"/>
        <v/>
      </c>
      <c r="G68" s="20" t="str">
        <f t="shared" si="19"/>
        <v/>
      </c>
      <c r="H68" s="48" t="str">
        <f t="shared" si="19"/>
        <v/>
      </c>
      <c r="I68" s="20" t="str">
        <f t="shared" si="19"/>
        <v/>
      </c>
      <c r="J68" s="20" t="str">
        <f t="shared" si="19"/>
        <v/>
      </c>
      <c r="K68" s="48" t="str">
        <f t="shared" si="19"/>
        <v/>
      </c>
      <c r="L68" s="20" t="str">
        <f t="shared" si="19"/>
        <v/>
      </c>
      <c r="M68" s="20" t="str">
        <f t="shared" si="19"/>
        <v/>
      </c>
      <c r="N68" s="47" t="str">
        <f>IF(SUM(B68:M68)&lt;=0,"",SUM(B68:M68))</f>
        <v/>
      </c>
      <c r="O68" s="20"/>
      <c r="P68" s="20"/>
      <c r="Q68" s="93" t="str">
        <f t="shared" si="13"/>
        <v/>
      </c>
    </row>
    <row r="69" spans="1:20">
      <c r="A69" s="43" t="str">
        <f t="shared" si="14"/>
        <v/>
      </c>
      <c r="B69" s="48" t="str">
        <f>IF($A$71="","",IF(B57&lt;&gt;"",SUM(B54:B57),""))</f>
        <v/>
      </c>
      <c r="C69" s="20" t="str">
        <f>IF($A$71="","",IF(C57&lt;&gt;"",SUM(C54:C57),""))</f>
        <v/>
      </c>
      <c r="D69" s="20" t="str">
        <f t="shared" ref="D69:M69" si="20">IF($A$71="","",IF(D57&lt;&gt;"",SUM(D54:D57),""))</f>
        <v/>
      </c>
      <c r="E69" s="48" t="str">
        <f t="shared" si="20"/>
        <v/>
      </c>
      <c r="F69" s="20" t="str">
        <f t="shared" si="20"/>
        <v/>
      </c>
      <c r="G69" s="20" t="str">
        <f t="shared" si="20"/>
        <v/>
      </c>
      <c r="H69" s="48" t="str">
        <f t="shared" si="20"/>
        <v/>
      </c>
      <c r="I69" s="20" t="str">
        <f t="shared" si="20"/>
        <v/>
      </c>
      <c r="J69" s="20" t="str">
        <f t="shared" si="20"/>
        <v/>
      </c>
      <c r="K69" s="48" t="str">
        <f t="shared" si="20"/>
        <v/>
      </c>
      <c r="L69" s="20" t="str">
        <f t="shared" si="20"/>
        <v/>
      </c>
      <c r="M69" s="20" t="str">
        <f t="shared" si="20"/>
        <v/>
      </c>
      <c r="N69" s="47" t="str">
        <f>IF(SUM(B69:M69)&lt;=0,"",SUM(B69:M69))</f>
        <v/>
      </c>
      <c r="O69" s="20"/>
      <c r="P69" s="20"/>
      <c r="Q69" s="93" t="str">
        <f t="shared" si="13"/>
        <v/>
      </c>
    </row>
    <row r="70" spans="1:20">
      <c r="A70" s="43" t="str">
        <f t="shared" si="14"/>
        <v/>
      </c>
      <c r="B70" s="48" t="str">
        <f t="shared" ref="B70:M70" si="21">IF(B58&lt;&gt;"",SUM(B55:B58),"")</f>
        <v/>
      </c>
      <c r="C70" s="20" t="str">
        <f t="shared" si="21"/>
        <v/>
      </c>
      <c r="D70" s="20" t="str">
        <f t="shared" si="21"/>
        <v/>
      </c>
      <c r="E70" s="48" t="str">
        <f t="shared" si="21"/>
        <v/>
      </c>
      <c r="F70" s="20" t="str">
        <f t="shared" si="21"/>
        <v/>
      </c>
      <c r="G70" s="20" t="str">
        <f t="shared" si="21"/>
        <v/>
      </c>
      <c r="H70" s="48" t="str">
        <f t="shared" si="21"/>
        <v/>
      </c>
      <c r="I70" s="20" t="str">
        <f t="shared" si="21"/>
        <v/>
      </c>
      <c r="J70" s="20" t="str">
        <f t="shared" si="21"/>
        <v/>
      </c>
      <c r="K70" s="48" t="str">
        <f t="shared" si="21"/>
        <v/>
      </c>
      <c r="L70" s="20" t="str">
        <f t="shared" si="21"/>
        <v/>
      </c>
      <c r="M70" s="20" t="str">
        <f t="shared" si="21"/>
        <v/>
      </c>
      <c r="N70" s="47" t="str">
        <f t="shared" si="12"/>
        <v/>
      </c>
      <c r="O70" s="20"/>
      <c r="P70" s="20"/>
      <c r="Q70" s="93" t="str">
        <f t="shared" si="13"/>
        <v/>
      </c>
    </row>
    <row r="71" spans="1:20">
      <c r="A71" s="43" t="str">
        <f t="shared" si="14"/>
        <v/>
      </c>
      <c r="B71" s="48"/>
      <c r="C71" s="20" t="str">
        <f>IF($A$71="","",IF(C59&lt;&gt;"",SUM(C56:C59),""))</f>
        <v/>
      </c>
      <c r="D71" s="20" t="str">
        <f t="shared" ref="D71:M71" si="22">IF($A$71="","",IF(D59&lt;&gt;"",SUM(D56:D59),""))</f>
        <v/>
      </c>
      <c r="E71" s="48" t="str">
        <f t="shared" si="22"/>
        <v/>
      </c>
      <c r="F71" s="20" t="str">
        <f t="shared" si="22"/>
        <v/>
      </c>
      <c r="G71" s="20" t="str">
        <f t="shared" si="22"/>
        <v/>
      </c>
      <c r="H71" s="48" t="str">
        <f t="shared" si="22"/>
        <v/>
      </c>
      <c r="I71" s="20" t="str">
        <f t="shared" si="22"/>
        <v/>
      </c>
      <c r="J71" s="20" t="str">
        <f t="shared" si="22"/>
        <v/>
      </c>
      <c r="K71" s="48" t="str">
        <f t="shared" si="22"/>
        <v/>
      </c>
      <c r="L71" s="20" t="str">
        <f t="shared" si="22"/>
        <v/>
      </c>
      <c r="M71" s="20" t="str">
        <f t="shared" si="22"/>
        <v/>
      </c>
      <c r="N71" s="47" t="str">
        <f t="shared" si="12"/>
        <v/>
      </c>
      <c r="O71" s="20"/>
      <c r="P71" s="20"/>
      <c r="Q71" s="93" t="str">
        <f t="shared" si="13"/>
        <v/>
      </c>
    </row>
    <row r="72" spans="1:20" ht="16.5" thickBot="1">
      <c r="A72" s="54"/>
      <c r="B72" s="55"/>
      <c r="C72" s="56"/>
      <c r="D72" s="56"/>
      <c r="E72" s="55"/>
      <c r="F72" s="56"/>
      <c r="G72" s="56"/>
      <c r="H72" s="55"/>
      <c r="I72" s="56"/>
      <c r="J72" s="56"/>
      <c r="K72" s="55"/>
      <c r="L72" s="56"/>
      <c r="M72" s="56"/>
      <c r="N72" s="57"/>
      <c r="O72" s="14"/>
      <c r="P72" s="14"/>
    </row>
    <row r="73" spans="1:20" ht="15" customHeight="1" thickTop="1">
      <c r="A73" s="58"/>
      <c r="B73" s="58"/>
      <c r="C73" s="14"/>
      <c r="F73" s="58"/>
      <c r="G73" s="14"/>
      <c r="H73" s="14"/>
      <c r="J73" s="14"/>
      <c r="L73" s="14"/>
      <c r="M73" s="14"/>
      <c r="N73" s="14"/>
      <c r="O73" s="14"/>
      <c r="P73" s="14"/>
    </row>
    <row r="74" spans="1:20" ht="15" customHeight="1">
      <c r="A74" s="58"/>
      <c r="B74" s="58"/>
      <c r="C74" s="14"/>
      <c r="F74" s="58"/>
      <c r="G74" s="14"/>
      <c r="H74" s="14"/>
      <c r="J74" s="14"/>
      <c r="L74" s="14"/>
      <c r="M74" s="14"/>
      <c r="N74" s="14"/>
      <c r="O74" s="14"/>
      <c r="P74" s="14"/>
    </row>
    <row r="75" spans="1:20" ht="15" hidden="1" customHeight="1">
      <c r="A75" s="19" t="s">
        <v>48</v>
      </c>
      <c r="E75" s="58"/>
    </row>
    <row r="76" spans="1:20" ht="15" hidden="1" customHeight="1">
      <c r="A76" s="19" t="s">
        <v>49</v>
      </c>
      <c r="C76" s="25">
        <f>IF(F33="",0,INDEX($B$63:$M$71,$R$64,5))+IF(H33="",0,INDEX($B$63:$M$71,$R$64,7))+IF(M33="",0,INDEX($B$63:$M$71,$R$64,12))</f>
        <v>20</v>
      </c>
      <c r="I76" s="25">
        <f>IF(D33="",0,INDEX($B$63:$M$71,$R$64,3))+IF(E33="",0,INDEX($B$63:$M$71,$R$64,4))+IF(L33="",0,INDEX($B$63:$M$71,$R$64,11))</f>
        <v>13</v>
      </c>
      <c r="M76" s="25" t="s">
        <v>13</v>
      </c>
    </row>
    <row r="77" spans="1:20" ht="15" hidden="1" customHeight="1">
      <c r="A77" s="19" t="s">
        <v>50</v>
      </c>
      <c r="C77" s="25">
        <f>IF(B33="",0,INDEX($B$63:$M$71,$R$64,1))+IF(C33="",0,INDEX($B$63:$M$71,$R$64,2))+IF(D33="",0,INDEX($B$63:$M$71,$R$64,3))</f>
        <v>12</v>
      </c>
      <c r="F77" s="25">
        <f>IF(E33="",0,INDEX($B$63:$M$71,$R$64,4))+IF(F33="",0,INDEX($B$63:$M$71,$R$64,5))+IF(G33="",0,INDEX($B$63:$M$71,$R$64,6))</f>
        <v>20</v>
      </c>
      <c r="I77" s="25">
        <f>IF(H33="",0,INDEX($B$63:$M$71,$R$64,7))+IF(I33="",0,INDEX($B$63:$M$71,$R$64,8))+IF(J33="",0,INDEX($B$63:$M$71,$R$64,9))</f>
        <v>8</v>
      </c>
      <c r="L77" s="25">
        <f>IF(K33="",0,INDEX($B$63:$M$71,$R$64,10))+IF(L33="",0,INDEX($B$63:$M$71,$R$64,11))+IF(M33="",0,INDEX($B$63:$M$71,$R$64,12))</f>
        <v>13</v>
      </c>
      <c r="M77" s="70"/>
      <c r="S77" s="59"/>
    </row>
    <row r="78" spans="1:20" ht="15" hidden="1" customHeight="1">
      <c r="A78" s="19" t="s">
        <v>49</v>
      </c>
      <c r="F78" s="25">
        <f>IF(C33="",0,INDEX($B$63:$M$71,$R$64,2))+IF(J33="",0,INDEX($B$63:$M$71,$R$64,9))+IF(K33="",0,INDEX($B$63:$M$71,$R$64,10))</f>
        <v>12</v>
      </c>
      <c r="L78" s="25">
        <f>IF(B33="",0,INDEX($B$63:$M$71,$R$64,1))+IF(G33="",0,INDEX($B$63:$M$71,$R$64,6))+IF(I33="",0,INDEX($B$63:$M$71,$R$64,8))</f>
        <v>8</v>
      </c>
    </row>
    <row r="79" spans="1:20" ht="15" customHeight="1">
      <c r="C79" s="25"/>
      <c r="F79" s="25"/>
      <c r="I79" s="25"/>
      <c r="L79" s="25"/>
    </row>
    <row r="80" spans="1:20" ht="15" customHeight="1">
      <c r="C80" s="96"/>
      <c r="T80" s="59"/>
    </row>
    <row r="81" spans="1:20" ht="15" customHeight="1"/>
    <row r="83" spans="1:20" s="59" customFormat="1">
      <c r="A83" s="19"/>
      <c r="B83" s="19"/>
      <c r="C83" s="25"/>
      <c r="D83" s="19"/>
      <c r="E83" s="19"/>
      <c r="F83" s="25"/>
      <c r="G83" s="19"/>
      <c r="H83" s="19"/>
      <c r="I83" s="97"/>
      <c r="J83" s="19"/>
      <c r="K83" s="19"/>
      <c r="L83" s="25"/>
      <c r="M83" s="19"/>
      <c r="N83" s="19"/>
      <c r="O83" s="19"/>
      <c r="P83" s="19"/>
      <c r="Q83" s="19"/>
      <c r="R83" s="19"/>
      <c r="S83" s="19"/>
      <c r="T83" s="19"/>
    </row>
    <row r="84" spans="1:20">
      <c r="C84" s="25"/>
      <c r="F84" s="25"/>
      <c r="I84" s="25"/>
      <c r="L84" s="25"/>
    </row>
    <row r="85" spans="1:20">
      <c r="C85" s="25"/>
      <c r="F85" s="25"/>
      <c r="I85" s="25"/>
      <c r="L85" s="25"/>
    </row>
    <row r="89" spans="1:20">
      <c r="L89" s="25"/>
    </row>
    <row r="98" spans="20:40" ht="25.15" customHeight="1"/>
    <row r="99" spans="20:40"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 spans="20:40" ht="31.15" customHeight="1">
      <c r="V100" s="81"/>
      <c r="W100" s="25"/>
      <c r="X100" s="25"/>
      <c r="Y100" s="70"/>
      <c r="Z100" s="70"/>
      <c r="AA100" s="70"/>
      <c r="AB100" s="25"/>
      <c r="AC100" s="25"/>
      <c r="AD100" s="25"/>
      <c r="AE100" s="25"/>
      <c r="AI100" s="70"/>
      <c r="AJ100" s="70"/>
      <c r="AK100" s="70"/>
    </row>
    <row r="101" spans="20:40" ht="25.15" customHeight="1"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</row>
    <row r="102" spans="20:40"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spans="20:40"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spans="20:40"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spans="20:40"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spans="20:40"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 spans="20:40"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spans="20:40">
      <c r="T108" s="70"/>
      <c r="V108" s="25"/>
      <c r="W108" s="25"/>
      <c r="X108" s="25"/>
      <c r="Y108" s="25"/>
      <c r="Z108" s="25"/>
      <c r="AA108" s="25"/>
      <c r="AB108" s="25"/>
      <c r="AC108" s="25"/>
      <c r="AD108" s="25"/>
      <c r="AE108" s="70"/>
      <c r="AF108" s="70"/>
      <c r="AN108" s="70"/>
    </row>
    <row r="109" spans="20:40">
      <c r="T109" s="70"/>
      <c r="V109" s="25"/>
      <c r="W109" s="25"/>
      <c r="X109" s="25"/>
      <c r="Y109" s="25"/>
      <c r="Z109" s="25"/>
      <c r="AA109" s="25"/>
      <c r="AB109" s="25"/>
      <c r="AC109" s="25"/>
      <c r="AD109" s="25"/>
      <c r="AE109" s="70"/>
      <c r="AF109" s="70"/>
      <c r="AN109" s="70"/>
    </row>
    <row r="110" spans="20:40">
      <c r="T110" s="70"/>
      <c r="V110" s="25"/>
      <c r="W110" s="25"/>
      <c r="X110" s="25"/>
      <c r="Y110" s="25"/>
      <c r="Z110" s="25"/>
      <c r="AA110" s="25"/>
      <c r="AB110" s="25"/>
      <c r="AC110" s="25"/>
      <c r="AD110" s="25"/>
      <c r="AE110" s="70"/>
      <c r="AF110" s="70"/>
      <c r="AN110" s="70"/>
    </row>
    <row r="111" spans="20:40"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spans="20:40"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spans="22:44"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 spans="22:44"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spans="22:44"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 spans="22:44"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spans="22:44"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spans="22:44" ht="31.15" customHeight="1">
      <c r="V118" s="25"/>
      <c r="W118" s="25"/>
      <c r="X118" s="25"/>
      <c r="Y118" s="70"/>
      <c r="Z118" s="70"/>
      <c r="AA118" s="70"/>
      <c r="AB118" s="25"/>
      <c r="AC118" s="25"/>
      <c r="AD118" s="25"/>
      <c r="AE118" s="25"/>
      <c r="AI118" s="70"/>
      <c r="AJ118" s="70"/>
      <c r="AK118" s="70"/>
    </row>
    <row r="119" spans="22:44" ht="25.15" customHeight="1"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spans="22:44" ht="25.15" customHeight="1"/>
    <row r="121" spans="22:44">
      <c r="AR121" s="98"/>
    </row>
  </sheetData>
  <pageMargins left="0.7" right="0.7" top="0.75" bottom="0.75" header="0.3" footer="0.3"/>
  <pageSetup scale="60" fitToWidth="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vehicles</vt:lpstr>
      <vt:lpstr>peds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 </cp:lastModifiedBy>
  <cp:lastPrinted>2010-11-30T00:49:43Z</cp:lastPrinted>
  <dcterms:created xsi:type="dcterms:W3CDTF">2010-11-30T00:43:13Z</dcterms:created>
  <dcterms:modified xsi:type="dcterms:W3CDTF">2010-12-14T19:52:03Z</dcterms:modified>
</cp:coreProperties>
</file>