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90" windowWidth="19035" windowHeight="9720" tabRatio="502"/>
  </bookViews>
  <sheets>
    <sheet name="vehicles" sheetId="1" r:id="rId1"/>
    <sheet name="peds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L29" i="2"/>
  <c r="I29"/>
  <c r="F29"/>
  <c r="C29"/>
  <c r="B49"/>
  <c r="K5"/>
  <c r="E4"/>
  <c r="B49" i="1"/>
  <c r="M63" i="2" l="1"/>
  <c r="K63"/>
  <c r="J63"/>
  <c r="H63"/>
  <c r="G63"/>
  <c r="E63"/>
  <c r="D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K70" s="1"/>
  <c r="J58"/>
  <c r="J70" s="1"/>
  <c r="I58"/>
  <c r="I70" s="1"/>
  <c r="H58"/>
  <c r="H70" s="1"/>
  <c r="G58"/>
  <c r="G70" s="1"/>
  <c r="F58"/>
  <c r="F70" s="1"/>
  <c r="E58"/>
  <c r="E70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S53" s="1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R49" s="1"/>
  <c r="M48"/>
  <c r="L48"/>
  <c r="K48"/>
  <c r="J48"/>
  <c r="I48"/>
  <c r="H48"/>
  <c r="G48"/>
  <c r="F48"/>
  <c r="E48"/>
  <c r="D48"/>
  <c r="C48"/>
  <c r="B48"/>
  <c r="R48" s="1"/>
  <c r="A48"/>
  <c r="Q48" s="1"/>
  <c r="Q47" s="1"/>
  <c r="N40"/>
  <c r="N39"/>
  <c r="N38"/>
  <c r="N37"/>
  <c r="N36"/>
  <c r="N35"/>
  <c r="N34"/>
  <c r="N33"/>
  <c r="D25"/>
  <c r="F22"/>
  <c r="B12"/>
  <c r="D9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G54"/>
  <c r="F54"/>
  <c r="E54"/>
  <c r="S54" s="1"/>
  <c r="D54"/>
  <c r="C54"/>
  <c r="B54"/>
  <c r="R54" s="1"/>
  <c r="M53"/>
  <c r="L53"/>
  <c r="K53"/>
  <c r="J53"/>
  <c r="I53"/>
  <c r="H53"/>
  <c r="G53"/>
  <c r="F53"/>
  <c r="E53"/>
  <c r="S53" s="1"/>
  <c r="D53"/>
  <c r="C53"/>
  <c r="B53"/>
  <c r="R53" s="1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A49"/>
  <c r="A50" s="1"/>
  <c r="M48"/>
  <c r="M63" s="1"/>
  <c r="L48"/>
  <c r="K48"/>
  <c r="J48"/>
  <c r="J63" s="1"/>
  <c r="I48"/>
  <c r="H48"/>
  <c r="G48"/>
  <c r="F48"/>
  <c r="F63" s="1"/>
  <c r="E48"/>
  <c r="D48"/>
  <c r="D63" s="1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G63" l="1"/>
  <c r="R48"/>
  <c r="B63"/>
  <c r="S48" i="2"/>
  <c r="U52"/>
  <c r="U51"/>
  <c r="L63"/>
  <c r="U50"/>
  <c r="U48"/>
  <c r="U49"/>
  <c r="T52"/>
  <c r="T51"/>
  <c r="I63"/>
  <c r="T50"/>
  <c r="T49"/>
  <c r="T48"/>
  <c r="S52"/>
  <c r="S51"/>
  <c r="F63"/>
  <c r="S50"/>
  <c r="V48"/>
  <c r="S49"/>
  <c r="C63"/>
  <c r="N63" s="1"/>
  <c r="N70"/>
  <c r="R50"/>
  <c r="R51"/>
  <c r="R52"/>
  <c r="R53"/>
  <c r="R54"/>
  <c r="R55"/>
  <c r="U53" i="1"/>
  <c r="U52"/>
  <c r="U51"/>
  <c r="U50"/>
  <c r="L63"/>
  <c r="U48"/>
  <c r="U49"/>
  <c r="K63"/>
  <c r="T53"/>
  <c r="T54"/>
  <c r="V54" s="1"/>
  <c r="T52"/>
  <c r="T51"/>
  <c r="I63"/>
  <c r="T50"/>
  <c r="T48"/>
  <c r="V48" s="1"/>
  <c r="T49"/>
  <c r="H63"/>
  <c r="S52"/>
  <c r="S51"/>
  <c r="S49"/>
  <c r="S50"/>
  <c r="S48"/>
  <c r="V53"/>
  <c r="E63"/>
  <c r="R49"/>
  <c r="R52"/>
  <c r="R51"/>
  <c r="R50"/>
  <c r="V50" i="2"/>
  <c r="V51"/>
  <c r="V52"/>
  <c r="V53"/>
  <c r="V54"/>
  <c r="N48"/>
  <c r="A49"/>
  <c r="N49"/>
  <c r="N51"/>
  <c r="E68"/>
  <c r="S56"/>
  <c r="K68"/>
  <c r="U56"/>
  <c r="V57"/>
  <c r="V59"/>
  <c r="N50"/>
  <c r="N52"/>
  <c r="N53"/>
  <c r="N54"/>
  <c r="T55"/>
  <c r="V55" s="1"/>
  <c r="N55"/>
  <c r="N68"/>
  <c r="S58"/>
  <c r="U58"/>
  <c r="Q63"/>
  <c r="N56"/>
  <c r="R56"/>
  <c r="T56"/>
  <c r="N57"/>
  <c r="N58"/>
  <c r="R58"/>
  <c r="T58"/>
  <c r="N59"/>
  <c r="A51" i="1"/>
  <c r="Q50"/>
  <c r="N48"/>
  <c r="Q49"/>
  <c r="N50"/>
  <c r="N52"/>
  <c r="N53"/>
  <c r="N54"/>
  <c r="R55"/>
  <c r="N55"/>
  <c r="N49"/>
  <c r="N51"/>
  <c r="S56"/>
  <c r="T55"/>
  <c r="N68"/>
  <c r="U56"/>
  <c r="N56"/>
  <c r="R56"/>
  <c r="T56"/>
  <c r="N57"/>
  <c r="N58"/>
  <c r="R58"/>
  <c r="T58"/>
  <c r="N59"/>
  <c r="Q63"/>
  <c r="E70"/>
  <c r="K70"/>
  <c r="N70" s="1"/>
  <c r="N63" l="1"/>
  <c r="V50"/>
  <c r="V49"/>
  <c r="V49" i="2"/>
  <c r="V52" i="1"/>
  <c r="V51"/>
  <c r="V58" i="2"/>
  <c r="V56"/>
  <c r="Q49"/>
  <c r="A50"/>
  <c r="V58" i="1"/>
  <c r="V56"/>
  <c r="V55"/>
  <c r="Q51"/>
  <c r="A52"/>
  <c r="A51" i="2" l="1"/>
  <c r="Q50"/>
  <c r="A53" i="1"/>
  <c r="Q52"/>
  <c r="A64"/>
  <c r="Q51" i="2" l="1"/>
  <c r="A52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2" l="1"/>
  <c r="Q52"/>
  <c r="A64"/>
  <c r="A55" i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7" l="1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5" i="1"/>
  <c r="A67"/>
  <c r="Q66"/>
  <c r="A55" i="2" l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1"/>
  <c r="A68"/>
  <c r="N67" i="2" l="1"/>
  <c r="N65"/>
  <c r="A67"/>
  <c r="Q66"/>
  <c r="A69" i="1"/>
  <c r="Q68"/>
  <c r="Q67" i="2" l="1"/>
  <c r="A68"/>
  <c r="Q69" i="1"/>
  <c r="A70"/>
  <c r="A69" i="2" l="1"/>
  <c r="Q68"/>
  <c r="A71" i="1"/>
  <c r="Q70"/>
  <c r="Q69" i="2" l="1"/>
  <c r="A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l="1"/>
  <c r="A71" i="2"/>
  <c r="Q70"/>
  <c r="N71" i="1"/>
  <c r="R63" l="1"/>
  <c r="D18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L69"/>
  <c r="J69"/>
  <c r="H69"/>
  <c r="F69"/>
  <c r="D69"/>
  <c r="B69"/>
  <c r="N71" l="1"/>
  <c r="N69"/>
  <c r="R63" s="1"/>
  <c r="R64" i="1"/>
  <c r="I77" l="1"/>
  <c r="K23" s="1"/>
  <c r="L77"/>
  <c r="J11" s="1"/>
  <c r="E23"/>
  <c r="F17"/>
  <c r="C11"/>
  <c r="F19"/>
  <c r="L78"/>
  <c r="K11" s="1"/>
  <c r="I76"/>
  <c r="J23" s="1"/>
  <c r="B19"/>
  <c r="B15"/>
  <c r="E11"/>
  <c r="S64"/>
  <c r="W48" s="1"/>
  <c r="C76"/>
  <c r="H15" s="1"/>
  <c r="D11"/>
  <c r="B17"/>
  <c r="D23"/>
  <c r="F15"/>
  <c r="C23"/>
  <c r="C77"/>
  <c r="H19" s="1"/>
  <c r="F78"/>
  <c r="M19" s="1"/>
  <c r="F77"/>
  <c r="M15" s="1"/>
  <c r="R64" i="2"/>
  <c r="D18"/>
  <c r="C7" i="1"/>
  <c r="F7" s="1"/>
  <c r="I77" i="2" l="1"/>
  <c r="K23" s="1"/>
  <c r="I76"/>
  <c r="J23" s="1"/>
  <c r="L77"/>
  <c r="J11" s="1"/>
  <c r="F78"/>
  <c r="M19" s="1"/>
  <c r="F77"/>
  <c r="M15" s="1"/>
  <c r="C76"/>
  <c r="H15" s="1"/>
  <c r="L78"/>
  <c r="K11" s="1"/>
  <c r="C77"/>
  <c r="S64"/>
  <c r="D23"/>
  <c r="F19"/>
  <c r="B17"/>
  <c r="B15"/>
  <c r="D11"/>
  <c r="E23"/>
  <c r="C23"/>
  <c r="B19"/>
  <c r="F17"/>
  <c r="F15"/>
  <c r="E11"/>
  <c r="C11"/>
  <c r="W49" i="1"/>
  <c r="W50" s="1"/>
  <c r="W51" s="1"/>
  <c r="H19" i="2" l="1"/>
  <c r="W48"/>
  <c r="C7"/>
  <c r="F7" s="1"/>
  <c r="T61" i="1"/>
  <c r="K25" s="1"/>
  <c r="S61"/>
  <c r="M22" s="1"/>
  <c r="R61"/>
  <c r="I12" s="1"/>
  <c r="V61"/>
  <c r="U61"/>
  <c r="K9" s="1"/>
  <c r="W49" i="2" l="1"/>
  <c r="W50" s="1"/>
  <c r="W51" s="1"/>
  <c r="W61" i="1"/>
  <c r="Q61" s="1"/>
  <c r="F8" s="1"/>
  <c r="C8" s="1"/>
  <c r="C28"/>
  <c r="V61" i="2" l="1"/>
  <c r="W61" s="1"/>
  <c r="Q61" s="1"/>
  <c r="F8" s="1"/>
  <c r="C8" s="1"/>
  <c r="S61"/>
  <c r="M22" s="1"/>
  <c r="R61"/>
  <c r="I12" s="1"/>
  <c r="U61"/>
  <c r="K9" s="1"/>
  <c r="T61"/>
  <c r="K25" s="1"/>
  <c r="C28" l="1"/>
</calcChain>
</file>

<file path=xl/sharedStrings.xml><?xml version="1.0" encoding="utf-8"?>
<sst xmlns="http://schemas.openxmlformats.org/spreadsheetml/2006/main" count="209" uniqueCount="54">
  <si>
    <t>Sierra Traffic Data Service</t>
  </si>
  <si>
    <t>INTERSECTION TURNING MOVEMENT SUMMARY</t>
  </si>
  <si>
    <t xml:space="preserve"> </t>
  </si>
  <si>
    <t>INTERSECTION:</t>
  </si>
  <si>
    <t xml:space="preserve">  </t>
  </si>
  <si>
    <t>TIME:</t>
  </si>
  <si>
    <t>to</t>
  </si>
  <si>
    <t>DATE:</t>
  </si>
  <si>
    <t xml:space="preserve">    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</si>
  <si>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</si>
  <si>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</si>
  <si>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</si>
  <si>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</si>
  <si>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</si>
  <si>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</si>
  <si>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</si>
  <si>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</si>
  <si>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</si>
  <si>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</si>
  <si>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</si>
  <si>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</si>
  <si>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</si>
  <si>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</si>
  <si>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</si>
  <si>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</si>
  <si>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</si>
  <si>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</si>
  <si>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</si>
  <si>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</si>
  <si>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</si>
  <si>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</si>
  <si>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</si>
  <si>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</si>
  <si>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</si>
  <si>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</si>
  <si>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</si>
  <si>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</si>
  <si>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</si>
  <si>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</si>
  <si>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</si>
  <si>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</si>
  <si>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</si>
  <si>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</si>
  <si>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</si>
  <si>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</si>
  <si>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</si>
  <si>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</si>
  <si>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</si>
  <si>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</si>
  <si>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</si>
  <si>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</si>
  <si>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S. Center - E. Liberty</t>
  </si>
  <si>
    <t>E. Liberty</t>
  </si>
  <si>
    <t>S. Center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</si>
</sst>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0">
    <font>
      <sz val="11"/>
      <color theme="1"/>
      <name val="Calibri"/>
      <family val="2"/>
      <scheme val="minor"/>
    </font>
    <font>
      <sz val="12"/>
      <name val="Tms Rmn"/>
    </font>
    <font>
      <b/>
      <sz val="12"/>
      <name val="Tms Rmn"/>
    </font>
    <font>
      <b/>
      <sz val="10"/>
      <name val="Tms Rmn"/>
    </font>
    <font>
      <b/>
      <sz val="12"/>
      <name val="Geneva"/>
    </font>
    <font>
      <b/>
      <u/>
      <sz val="12"/>
      <name val="Tms Rmn"/>
    </font>
    <font>
      <b/>
      <i/>
      <sz val="12"/>
      <name val="Geneva"/>
    </font>
    <font>
      <b/>
      <i/>
      <sz val="12"/>
      <name val="Tms Rmn"/>
    </font>
    <font>
      <sz val="12"/>
      <color theme="1"/>
      <name val="Calibri"/>
      <family val="2"/>
      <scheme val="minor"/>
    </font>
    <font>
      <b/>
      <sz val="12"/>
      <color indexed="1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2" borderId="1" xfId="1" applyFont="1" applyFill="1" applyBorder="1" applyProtection="1"/>
    <xf numFmtId="0" fontId="2" fillId="2" borderId="2" xfId="1" applyFont="1" applyFill="1" applyBorder="1" applyAlignment="1" applyProtection="1">
      <alignment horizontal="left"/>
    </xf>
    <xf numFmtId="0" fontId="2" fillId="2" borderId="4" xfId="1" applyFont="1" applyFill="1" applyBorder="1" applyProtection="1"/>
    <xf numFmtId="0" fontId="2" fillId="2" borderId="0" xfId="1" applyFont="1" applyFill="1" applyBorder="1" applyAlignment="1" applyProtection="1">
      <alignment horizontal="left"/>
      <protection locked="0"/>
    </xf>
    <xf numFmtId="0" fontId="2" fillId="2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left"/>
    </xf>
    <xf numFmtId="0" fontId="2" fillId="2" borderId="7" xfId="1" applyFont="1" applyFill="1" applyBorder="1" applyAlignment="1" applyProtection="1">
      <alignment horizontal="left"/>
      <protection locked="0"/>
    </xf>
    <xf numFmtId="0" fontId="1" fillId="2" borderId="7" xfId="1" applyFont="1" applyFill="1" applyBorder="1" applyProtection="1"/>
    <xf numFmtId="0" fontId="1" fillId="2" borderId="7" xfId="1" applyFont="1" applyFill="1" applyBorder="1" applyAlignment="1" applyProtection="1">
      <alignment horizontal="left"/>
    </xf>
    <xf numFmtId="0" fontId="2" fillId="2" borderId="7" xfId="1" applyFont="1" applyFill="1" applyBorder="1" applyProtection="1"/>
    <xf numFmtId="0" fontId="2" fillId="2" borderId="7" xfId="1" applyFont="1" applyFill="1" applyBorder="1" applyAlignment="1" applyProtection="1">
      <alignment horizontal="centerContinuous"/>
      <protection locked="0"/>
    </xf>
    <xf numFmtId="0" fontId="2" fillId="2" borderId="7" xfId="1" applyFont="1" applyFill="1" applyBorder="1" applyAlignment="1" applyProtection="1">
      <protection locked="0"/>
    </xf>
    <xf numFmtId="0" fontId="1" fillId="2" borderId="8" xfId="1" applyFont="1" applyFill="1" applyBorder="1" applyProtection="1"/>
    <xf numFmtId="0" fontId="1" fillId="0" borderId="0" xfId="1" applyFont="1" applyBorder="1" applyProtection="1"/>
    <xf numFmtId="1" fontId="1" fillId="0" borderId="4" xfId="1" applyNumberFormat="1" applyFont="1" applyBorder="1" applyAlignment="1" applyProtection="1">
      <alignment horizontal="left"/>
    </xf>
    <xf numFmtId="18" fontId="1" fillId="0" borderId="0" xfId="1" applyNumberFormat="1" applyFont="1" applyBorder="1" applyAlignment="1" applyProtection="1">
      <alignment horizontal="centerContinuous"/>
    </xf>
    <xf numFmtId="0" fontId="1" fillId="0" borderId="0" xfId="1" applyFont="1" applyBorder="1" applyAlignment="1" applyProtection="1">
      <alignment horizontal="centerContinuous"/>
    </xf>
    <xf numFmtId="20" fontId="1" fillId="0" borderId="0" xfId="1" applyNumberFormat="1" applyFont="1" applyBorder="1" applyAlignment="1" applyProtection="1">
      <alignment horizontal="center"/>
    </xf>
    <xf numFmtId="0" fontId="1" fillId="0" borderId="0" xfId="1" applyFont="1" applyProtection="1"/>
    <xf numFmtId="0" fontId="1" fillId="0" borderId="0" xfId="1" applyFont="1" applyBorder="1" applyAlignment="1" applyProtection="1">
      <alignment horizontal="center"/>
    </xf>
    <xf numFmtId="20" fontId="1" fillId="0" borderId="0" xfId="1" applyNumberFormat="1" applyFont="1" applyBorder="1" applyAlignment="1" applyProtection="1">
      <alignment horizontal="centerContinuous"/>
    </xf>
    <xf numFmtId="18" fontId="1" fillId="0" borderId="0" xfId="1" applyNumberFormat="1" applyFont="1" applyBorder="1" applyAlignment="1" applyProtection="1"/>
    <xf numFmtId="0" fontId="1" fillId="0" borderId="0" xfId="1" applyFont="1" applyAlignment="1" applyProtection="1">
      <alignment horizontal="center" vertical="center" textRotation="90"/>
    </xf>
    <xf numFmtId="0" fontId="1" fillId="0" borderId="0" xfId="1" applyFont="1" applyBorder="1" applyAlignment="1" applyProtection="1">
      <alignment horizontal="right"/>
    </xf>
    <xf numFmtId="0" fontId="1" fillId="0" borderId="0" xfId="1" applyFont="1" applyAlignment="1" applyProtection="1">
      <alignment horizontal="center"/>
    </xf>
    <xf numFmtId="0" fontId="1" fillId="0" borderId="4" xfId="1" quotePrefix="1" applyFont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centerContinuous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Continuous"/>
    </xf>
    <xf numFmtId="0" fontId="2" fillId="2" borderId="10" xfId="1" applyFont="1" applyFill="1" applyBorder="1" applyProtection="1"/>
    <xf numFmtId="0" fontId="1" fillId="2" borderId="4" xfId="1" applyFont="1" applyFill="1" applyBorder="1" applyProtection="1"/>
    <xf numFmtId="0" fontId="1" fillId="2" borderId="11" xfId="1" applyFont="1" applyFill="1" applyBorder="1" applyProtection="1"/>
    <xf numFmtId="0" fontId="1" fillId="2" borderId="0" xfId="1" applyFont="1" applyFill="1" applyBorder="1" applyAlignment="1" applyProtection="1">
      <alignment horizontal="center"/>
    </xf>
    <xf numFmtId="0" fontId="1" fillId="2" borderId="11" xfId="1" applyFont="1" applyFill="1" applyBorder="1" applyAlignment="1" applyProtection="1">
      <alignment horizontal="center"/>
    </xf>
    <xf numFmtId="0" fontId="1" fillId="2" borderId="12" xfId="1" applyFont="1" applyFill="1" applyBorder="1" applyProtection="1"/>
    <xf numFmtId="0" fontId="1" fillId="2" borderId="13" xfId="1" applyFont="1" applyFill="1" applyBorder="1" applyAlignment="1" applyProtection="1">
      <alignment horizontal="center"/>
    </xf>
    <xf numFmtId="0" fontId="1" fillId="2" borderId="7" xfId="1" applyFont="1" applyFill="1" applyBorder="1" applyAlignment="1" applyProtection="1">
      <alignment horizontal="center"/>
    </xf>
    <xf numFmtId="0" fontId="1" fillId="2" borderId="14" xfId="1" applyFont="1" applyFill="1" applyBorder="1" applyProtection="1"/>
    <xf numFmtId="0" fontId="5" fillId="0" borderId="4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18" fontId="1" fillId="0" borderId="4" xfId="1" applyNumberFormat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1" fillId="0" borderId="11" xfId="1" applyFont="1" applyFill="1" applyBorder="1" applyAlignment="1" applyProtection="1">
      <alignment horizontal="center"/>
      <protection locked="0"/>
    </xf>
    <xf numFmtId="0" fontId="1" fillId="0" borderId="12" xfId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</xf>
    <xf numFmtId="0" fontId="1" fillId="0" borderId="11" xfId="1" applyFont="1" applyFill="1" applyBorder="1" applyAlignment="1" applyProtection="1">
      <alignment horizontal="center"/>
    </xf>
    <xf numFmtId="0" fontId="1" fillId="0" borderId="4" xfId="1" applyFont="1" applyBorder="1" applyAlignment="1" applyProtection="1">
      <alignment horizontal="center"/>
    </xf>
    <xf numFmtId="0" fontId="1" fillId="0" borderId="13" xfId="1" applyFont="1" applyBorder="1" applyAlignment="1" applyProtection="1">
      <alignment horizontal="center"/>
    </xf>
    <xf numFmtId="0" fontId="1" fillId="0" borderId="7" xfId="1" applyFont="1" applyBorder="1" applyAlignment="1" applyProtection="1">
      <alignment horizontal="center"/>
    </xf>
    <xf numFmtId="0" fontId="1" fillId="0" borderId="14" xfId="1" applyFont="1" applyBorder="1" applyAlignment="1" applyProtection="1">
      <alignment horizontal="center"/>
    </xf>
    <xf numFmtId="0" fontId="1" fillId="0" borderId="6" xfId="1" applyFont="1" applyBorder="1" applyAlignment="1" applyProtection="1">
      <alignment horizontal="left"/>
    </xf>
    <xf numFmtId="0" fontId="1" fillId="0" borderId="13" xfId="1" applyFont="1" applyBorder="1" applyProtection="1"/>
    <xf numFmtId="0" fontId="1" fillId="0" borderId="7" xfId="1" applyFont="1" applyBorder="1" applyProtection="1"/>
    <xf numFmtId="0" fontId="1" fillId="0" borderId="14" xfId="1" applyFont="1" applyBorder="1" applyProtection="1"/>
    <xf numFmtId="0" fontId="1" fillId="0" borderId="0" xfId="1" applyFont="1" applyAlignment="1" applyProtection="1">
      <alignment horizontal="left"/>
    </xf>
    <xf numFmtId="0" fontId="2" fillId="0" borderId="0" xfId="1" applyFont="1" applyProtection="1"/>
    <xf numFmtId="0" fontId="6" fillId="0" borderId="0" xfId="0" applyFont="1"/>
    <xf numFmtId="0" fontId="7" fillId="0" borderId="0" xfId="1" applyFont="1" applyProtection="1"/>
    <xf numFmtId="0" fontId="2" fillId="0" borderId="0" xfId="1" applyFont="1" applyAlignment="1" applyProtection="1">
      <alignment horizontal="centerContinuous"/>
    </xf>
    <xf numFmtId="0" fontId="1" fillId="0" borderId="0" xfId="1" applyFont="1" applyAlignment="1" applyProtection="1">
      <alignment horizontal="centerContinuous"/>
    </xf>
    <xf numFmtId="0" fontId="1" fillId="2" borderId="2" xfId="1" applyFont="1" applyFill="1" applyBorder="1" applyProtection="1"/>
    <xf numFmtId="18" fontId="2" fillId="2" borderId="2" xfId="1" applyNumberFormat="1" applyFont="1" applyFill="1" applyBorder="1" applyAlignment="1" applyProtection="1">
      <alignment horizontal="left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18" fontId="2" fillId="2" borderId="2" xfId="1" applyNumberFormat="1" applyFont="1" applyFill="1" applyBorder="1" applyAlignment="1" applyProtection="1">
      <protection locked="0"/>
    </xf>
    <xf numFmtId="18" fontId="1" fillId="2" borderId="3" xfId="1" applyNumberFormat="1" applyFont="1" applyFill="1" applyBorder="1" applyAlignment="1" applyProtection="1"/>
    <xf numFmtId="18" fontId="1" fillId="0" borderId="0" xfId="1" applyNumberFormat="1" applyFont="1" applyAlignment="1" applyProtection="1"/>
    <xf numFmtId="0" fontId="8" fillId="0" borderId="0" xfId="0" applyFont="1" applyProtection="1"/>
    <xf numFmtId="0" fontId="1" fillId="2" borderId="0" xfId="1" applyFont="1" applyFill="1" applyBorder="1" applyProtection="1"/>
    <xf numFmtId="164" fontId="2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0" xfId="1" applyFont="1" applyFill="1" applyBorder="1" applyAlignment="1" applyProtection="1">
      <alignment horizontal="centerContinuous"/>
      <protection locked="0"/>
    </xf>
    <xf numFmtId="0" fontId="1" fillId="2" borderId="5" xfId="1" applyFont="1" applyFill="1" applyBorder="1" applyAlignment="1" applyProtection="1"/>
    <xf numFmtId="0" fontId="1" fillId="0" borderId="0" xfId="1" applyFont="1" applyBorder="1" applyAlignment="1" applyProtection="1"/>
    <xf numFmtId="0" fontId="1" fillId="0" borderId="5" xfId="1" applyFont="1" applyBorder="1" applyProtection="1"/>
    <xf numFmtId="2" fontId="1" fillId="0" borderId="0" xfId="1" applyNumberFormat="1" applyFont="1" applyBorder="1" applyAlignment="1" applyProtection="1">
      <alignment horizontal="center"/>
    </xf>
    <xf numFmtId="0" fontId="1" fillId="0" borderId="4" xfId="1" applyFont="1" applyBorder="1" applyProtection="1"/>
    <xf numFmtId="0" fontId="1" fillId="0" borderId="0" xfId="1" applyFont="1" applyAlignment="1" applyProtection="1">
      <alignment horizontal="right" vertical="center" textRotation="90"/>
    </xf>
    <xf numFmtId="0" fontId="1" fillId="0" borderId="0" xfId="1" applyFont="1" applyAlignment="1" applyProtection="1">
      <alignment horizontal="left" vertical="center" textRotation="90"/>
    </xf>
    <xf numFmtId="0" fontId="1" fillId="0" borderId="0" xfId="1" applyFont="1" applyAlignment="1" applyProtection="1">
      <alignment horizontal="center" textRotation="90"/>
    </xf>
    <xf numFmtId="0" fontId="8" fillId="0" borderId="4" xfId="0" applyFont="1" applyBorder="1" applyProtection="1"/>
    <xf numFmtId="2" fontId="1" fillId="0" borderId="0" xfId="1" applyNumberFormat="1" applyFont="1" applyBorder="1" applyAlignment="1" applyProtection="1">
      <alignment horizontal="left"/>
    </xf>
    <xf numFmtId="0" fontId="1" fillId="0" borderId="0" xfId="1" applyFont="1" applyAlignment="1" applyProtection="1">
      <alignment horizontal="right"/>
    </xf>
    <xf numFmtId="0" fontId="1" fillId="0" borderId="5" xfId="1" applyFont="1" applyBorder="1" applyAlignment="1" applyProtection="1">
      <alignment horizontal="center"/>
    </xf>
    <xf numFmtId="0" fontId="8" fillId="0" borderId="5" xfId="0" applyFont="1" applyBorder="1" applyProtection="1"/>
    <xf numFmtId="2" fontId="1" fillId="0" borderId="0" xfId="1" applyNumberFormat="1" applyFont="1" applyAlignment="1" applyProtection="1">
      <alignment horizontal="right"/>
    </xf>
    <xf numFmtId="3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>
      <alignment horizontal="center" vertical="top" textRotation="90"/>
    </xf>
    <xf numFmtId="0" fontId="9" fillId="0" borderId="0" xfId="1" applyFont="1" applyFill="1" applyBorder="1" applyAlignment="1" applyProtection="1">
      <alignment horizontal="centerContinuous"/>
    </xf>
    <xf numFmtId="0" fontId="1" fillId="0" borderId="0" xfId="1" applyFont="1" applyFill="1" applyBorder="1" applyAlignment="1" applyProtection="1">
      <alignment horizontal="centerContinuous"/>
    </xf>
    <xf numFmtId="0" fontId="2" fillId="0" borderId="0" xfId="1" applyFont="1" applyBorder="1" applyProtection="1"/>
    <xf numFmtId="20" fontId="1" fillId="0" borderId="0" xfId="1" applyNumberFormat="1" applyFont="1" applyProtection="1"/>
    <xf numFmtId="1" fontId="1" fillId="0" borderId="0" xfId="1" applyNumberFormat="1" applyFont="1" applyAlignment="1" applyProtection="1">
      <alignment horizontal="center"/>
    </xf>
    <xf numFmtId="20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/>
    <xf numFmtId="0" fontId="2" fillId="0" borderId="0" xfId="1" applyFont="1" applyAlignment="1" applyProtection="1">
      <alignment horizontal="left"/>
    </xf>
    <xf numFmtId="0" fontId="1" fillId="0" borderId="0" xfId="1" applyFont="1" applyBorder="1" applyAlignment="1" applyProtection="1">
      <alignment horizontal="left"/>
    </xf>
    <xf numFmtId="0" fontId="3" fillId="2" borderId="6" xfId="1" applyFont="1" applyFill="1" applyBorder="1" applyAlignment="1" applyProtection="1">
      <alignment horizontal="center"/>
    </xf>
    <xf numFmtId="0" fontId="3" fillId="0" borderId="6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22885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11</xdr:row>
      <xdr:rowOff>142875</xdr:rowOff>
    </xdr:from>
    <xdr:to>
      <xdr:col>4</xdr:col>
      <xdr:colOff>171450</xdr:colOff>
      <xdr:row>12</xdr:row>
      <xdr:rowOff>152400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258911" y="2483304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46685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30988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02656" y="2028783"/>
              <a:ext cx="1680000" cy="1020000"/>
              <a:chOff x="7502656" y="2028783"/>
              <a:chExt cx="1680000" cy="102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502656" y="2028783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02656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630380" y="2040000"/>
              <a:ext cx="2020000" cy="1020000"/>
              <a:chOff x="263038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65038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630380" y="3039519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536095" y="4530722"/>
              <a:ext cx="1687067" cy="1040000"/>
              <a:chOff x="7536095" y="4530722"/>
              <a:chExt cx="1687067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536095" y="4530722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543162" y="4534873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800350" y="247650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325586" y="2473779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2028825" y="288607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30988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97761" y="2014392"/>
              <a:ext cx="1680000" cy="1040000"/>
              <a:chOff x="7597761" y="2014392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621535" y="2014392"/>
                <a:ext cx="0" cy="1020001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97761" y="305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627967" y="4514392"/>
              <a:ext cx="1680000" cy="1040002"/>
              <a:chOff x="7627967" y="4514392"/>
              <a:chExt cx="1680000" cy="1040002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642102" y="4514394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627967" y="451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abSelected="1" zoomScale="70" zoomScaleNormal="70" workbookViewId="0">
      <selection activeCell="J41" sqref="J41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0.8554687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">
        <v>51</v>
      </c>
      <c r="F4" s="64"/>
      <c r="G4" s="64"/>
      <c r="H4" s="64"/>
      <c r="I4" s="2" t="s">
        <v>5</v>
      </c>
      <c r="J4" s="2"/>
      <c r="K4" s="65">
        <v>0.29166666666666702</v>
      </c>
      <c r="L4" s="66" t="s">
        <v>6</v>
      </c>
      <c r="M4" s="67">
        <v>0.375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v>40512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0.32291666666666635</v>
      </c>
      <c r="D7" s="17"/>
      <c r="E7" s="18" t="s">
        <v>6</v>
      </c>
      <c r="F7" s="16">
        <f>C7+60/1440</f>
        <v>0.36458333333333304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0.32291666666666635</v>
      </c>
      <c r="D8" s="17"/>
      <c r="E8" s="18" t="s">
        <v>6</v>
      </c>
      <c r="F8" s="16">
        <f>Q61</f>
        <v>0.33333333333333304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S. Center</v>
      </c>
      <c r="E9" s="21"/>
      <c r="F9" s="22"/>
      <c r="G9" s="17"/>
      <c r="H9" s="14"/>
      <c r="I9" s="14"/>
      <c r="J9" s="24" t="s">
        <v>12</v>
      </c>
      <c r="K9" s="77" t="e">
        <f>IF(L29="N/A","N/A",L77/(U61*4))</f>
        <v>#DIV/0!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 t="str">
        <f>IF(L29="N/A","N/A",IF(I29="N/A","N/A",INDEX($B$63:$M$71,$R$64,11)))</f>
        <v/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0</v>
      </c>
      <c r="K11" s="81">
        <f>IF(L29="N/A","N/A",L78)</f>
        <v>341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E. Liberty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0.68872549019607843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>
        <f>IF(C29="N/A","N/A",IF(L29="N/A","N/A",INDEX($B$63:$M$71,$R$64,1)))</f>
        <v>168</v>
      </c>
      <c r="C15" s="14"/>
      <c r="D15" s="14"/>
      <c r="E15" s="14"/>
      <c r="F15" s="25">
        <f>IF(F29="N/A","N/A",IF(L29="N/A","N/A",INDEX($B$63:$M$71,$R$64,6)))</f>
        <v>49</v>
      </c>
      <c r="G15" s="14"/>
      <c r="H15" s="84">
        <f>IF(C29="N/A","N/A",C76)</f>
        <v>458</v>
      </c>
      <c r="I15" s="14"/>
      <c r="J15" s="14"/>
      <c r="K15" s="14"/>
      <c r="L15" s="70"/>
      <c r="M15" s="58">
        <f>IF(F29="N/A","N/A",F77)</f>
        <v>491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394</v>
      </c>
      <c r="C17" s="14"/>
      <c r="D17" s="14"/>
      <c r="E17" s="14"/>
      <c r="F17" s="25">
        <f>IF(F29="N/A","N/A",IF(C29="N/A","N/A",INDEX($B$63:$M$71,$R$64,5)))</f>
        <v>442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1221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/>
      <c r="H19" s="84">
        <f>IF(C29="N/A","N/A",C77)</f>
        <v>562</v>
      </c>
      <c r="I19" s="14"/>
      <c r="J19" s="14"/>
      <c r="K19" s="14"/>
      <c r="L19" s="70"/>
      <c r="M19" s="58">
        <f>IF(F29="N/A","N/A",F78)</f>
        <v>422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E. Liberty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0.84075342465753422</v>
      </c>
      <c r="N22" s="86"/>
    </row>
    <row r="23" spans="1:28" ht="30" customHeight="1">
      <c r="A23" s="78"/>
      <c r="B23" s="14"/>
      <c r="C23" s="79">
        <f>IF(I29="N/A","N/A",IF(C29="N/A","N/A",INDEX($B$63:$M$71,$R$64,7)))</f>
        <v>16</v>
      </c>
      <c r="D23" s="23">
        <f>IF(I29="N/A","N/A",IF(L29="N/A","N/A",INDEX($B$63:$M$71,$R$64,8)))</f>
        <v>124</v>
      </c>
      <c r="E23" s="80">
        <f>IF(I29="N/A","N/A",IF(F29="N/A","N/A",INDEX($B$63:$M$71,$R$64,9)))</f>
        <v>28</v>
      </c>
      <c r="F23" s="70"/>
      <c r="G23" s="17"/>
      <c r="H23" s="14"/>
      <c r="I23" s="14"/>
      <c r="J23" s="89">
        <f>IF(I29="N/A","N/A",I76)</f>
        <v>0</v>
      </c>
      <c r="K23" s="89">
        <f>IF(I29="N/A","N/A",I77)</f>
        <v>168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S. Center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0.82352941176470584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0.76122194513715713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">
        <v>52</v>
      </c>
      <c r="D29" s="29"/>
      <c r="E29" s="27"/>
      <c r="F29" s="28" t="s">
        <v>52</v>
      </c>
      <c r="G29" s="29"/>
      <c r="H29" s="27"/>
      <c r="I29" s="28" t="s">
        <v>53</v>
      </c>
      <c r="J29" s="29"/>
      <c r="K29" s="27"/>
      <c r="L29" s="28" t="s">
        <v>53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23</v>
      </c>
      <c r="C31" s="37" t="s">
        <v>24</v>
      </c>
      <c r="D31" s="37" t="s">
        <v>25</v>
      </c>
      <c r="E31" s="36" t="s">
        <v>23</v>
      </c>
      <c r="F31" s="37" t="s">
        <v>24</v>
      </c>
      <c r="G31" s="37" t="s">
        <v>25</v>
      </c>
      <c r="H31" s="36" t="s">
        <v>23</v>
      </c>
      <c r="I31" s="37" t="s">
        <v>24</v>
      </c>
      <c r="J31" s="37" t="s">
        <v>25</v>
      </c>
      <c r="K31" s="36" t="s">
        <v>23</v>
      </c>
      <c r="L31" s="37" t="s">
        <v>24</v>
      </c>
      <c r="M31" s="37" t="s">
        <v>25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0.30208333333333298</v>
      </c>
      <c r="B33" s="44">
        <v>26</v>
      </c>
      <c r="C33" s="45">
        <v>44</v>
      </c>
      <c r="D33" s="45"/>
      <c r="E33" s="44"/>
      <c r="F33" s="45">
        <v>29</v>
      </c>
      <c r="G33" s="45">
        <v>11</v>
      </c>
      <c r="H33" s="44">
        <v>0</v>
      </c>
      <c r="I33" s="45">
        <v>18</v>
      </c>
      <c r="J33" s="45">
        <v>5</v>
      </c>
      <c r="K33" s="46"/>
      <c r="L33" s="45"/>
      <c r="M33" s="45"/>
      <c r="N33" s="47">
        <f t="shared" ref="N33:N40" si="0">IF(SUM(B33:M33)&lt;=0,"",SUM(B33:M33))</f>
        <v>133</v>
      </c>
      <c r="O33" s="20"/>
      <c r="P33" s="20"/>
      <c r="Q33" s="93"/>
    </row>
    <row r="34" spans="1:28">
      <c r="A34" s="43">
        <v>0.3125</v>
      </c>
      <c r="B34" s="44">
        <v>56</v>
      </c>
      <c r="C34" s="45">
        <v>110</v>
      </c>
      <c r="D34" s="45"/>
      <c r="E34" s="44"/>
      <c r="F34" s="45">
        <v>83</v>
      </c>
      <c r="G34" s="45">
        <v>22</v>
      </c>
      <c r="H34" s="44">
        <v>3</v>
      </c>
      <c r="I34" s="45">
        <v>37</v>
      </c>
      <c r="J34" s="45">
        <v>9</v>
      </c>
      <c r="K34" s="46"/>
      <c r="L34" s="45"/>
      <c r="M34" s="45"/>
      <c r="N34" s="47">
        <f t="shared" si="0"/>
        <v>320</v>
      </c>
      <c r="O34" s="20"/>
      <c r="P34" s="20"/>
      <c r="Q34" s="93"/>
    </row>
    <row r="35" spans="1:28">
      <c r="A35" s="43">
        <v>0.32291666666666702</v>
      </c>
      <c r="B35" s="44">
        <v>96</v>
      </c>
      <c r="C35" s="45">
        <v>200</v>
      </c>
      <c r="D35" s="45"/>
      <c r="E35" s="44"/>
      <c r="F35" s="45">
        <v>143</v>
      </c>
      <c r="G35" s="45">
        <v>33</v>
      </c>
      <c r="H35" s="44">
        <v>3</v>
      </c>
      <c r="I35" s="45">
        <v>63</v>
      </c>
      <c r="J35" s="45">
        <v>21</v>
      </c>
      <c r="K35" s="46"/>
      <c r="L35" s="45"/>
      <c r="M35" s="45"/>
      <c r="N35" s="47">
        <f t="shared" si="0"/>
        <v>559</v>
      </c>
      <c r="O35" s="20"/>
      <c r="P35" s="20"/>
      <c r="Q35" s="93"/>
    </row>
    <row r="36" spans="1:28" s="59" customFormat="1">
      <c r="A36" s="43">
        <v>0.33333333333333398</v>
      </c>
      <c r="B36" s="44">
        <v>163</v>
      </c>
      <c r="C36" s="45">
        <v>337</v>
      </c>
      <c r="D36" s="45"/>
      <c r="E36" s="44"/>
      <c r="F36" s="45">
        <v>275</v>
      </c>
      <c r="G36" s="45">
        <v>47</v>
      </c>
      <c r="H36" s="44">
        <v>7</v>
      </c>
      <c r="I36" s="45">
        <v>105</v>
      </c>
      <c r="J36" s="45">
        <v>26</v>
      </c>
      <c r="K36" s="46"/>
      <c r="L36" s="45"/>
      <c r="M36" s="45"/>
      <c r="N36" s="47">
        <f t="shared" si="0"/>
        <v>960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0.343750000000001</v>
      </c>
      <c r="B37" s="44">
        <v>189</v>
      </c>
      <c r="C37" s="45">
        <v>424</v>
      </c>
      <c r="D37" s="45"/>
      <c r="E37" s="44"/>
      <c r="F37" s="45">
        <v>383</v>
      </c>
      <c r="G37" s="45">
        <v>61</v>
      </c>
      <c r="H37" s="44">
        <v>11</v>
      </c>
      <c r="I37" s="45">
        <v>135</v>
      </c>
      <c r="J37" s="45">
        <v>31</v>
      </c>
      <c r="K37" s="46"/>
      <c r="L37" s="45"/>
      <c r="M37" s="45"/>
      <c r="N37" s="47">
        <f t="shared" si="0"/>
        <v>1234</v>
      </c>
      <c r="O37" s="20"/>
      <c r="P37" s="20"/>
      <c r="Q37" s="93"/>
    </row>
    <row r="38" spans="1:28">
      <c r="A38" s="43">
        <v>0.35416666666666802</v>
      </c>
      <c r="B38" s="44">
        <v>228</v>
      </c>
      <c r="C38" s="45">
        <v>511</v>
      </c>
      <c r="D38" s="45"/>
      <c r="E38" s="44"/>
      <c r="F38" s="45">
        <v>449</v>
      </c>
      <c r="G38" s="45">
        <v>72</v>
      </c>
      <c r="H38" s="44">
        <v>12</v>
      </c>
      <c r="I38" s="45">
        <v>159</v>
      </c>
      <c r="J38" s="45">
        <v>39</v>
      </c>
      <c r="K38" s="46"/>
      <c r="L38" s="45"/>
      <c r="M38" s="45"/>
      <c r="N38" s="47">
        <f t="shared" si="0"/>
        <v>1470</v>
      </c>
      <c r="O38" s="20"/>
      <c r="P38" s="20"/>
      <c r="Q38" s="93"/>
    </row>
    <row r="39" spans="1:28">
      <c r="A39" s="43">
        <v>0.36458333333333498</v>
      </c>
      <c r="B39" s="44">
        <v>264</v>
      </c>
      <c r="C39" s="45">
        <v>594</v>
      </c>
      <c r="D39" s="45"/>
      <c r="E39" s="44"/>
      <c r="F39" s="45">
        <v>585</v>
      </c>
      <c r="G39" s="45">
        <v>82</v>
      </c>
      <c r="H39" s="44">
        <v>19</v>
      </c>
      <c r="I39" s="45">
        <v>187</v>
      </c>
      <c r="J39" s="45">
        <v>49</v>
      </c>
      <c r="K39" s="46"/>
      <c r="L39" s="45"/>
      <c r="M39" s="45"/>
      <c r="N39" s="47">
        <f t="shared" si="0"/>
        <v>1780</v>
      </c>
      <c r="O39" s="20"/>
      <c r="P39" s="20"/>
      <c r="Q39" s="93"/>
    </row>
    <row r="40" spans="1:28">
      <c r="A40" s="43">
        <v>0.375000000000002</v>
      </c>
      <c r="B40" s="44">
        <v>306</v>
      </c>
      <c r="C40" s="45">
        <v>677</v>
      </c>
      <c r="D40" s="45"/>
      <c r="E40" s="44"/>
      <c r="F40" s="45">
        <v>661</v>
      </c>
      <c r="G40" s="45">
        <v>90</v>
      </c>
      <c r="H40" s="44">
        <v>23</v>
      </c>
      <c r="I40" s="45">
        <v>219</v>
      </c>
      <c r="J40" s="45">
        <v>61</v>
      </c>
      <c r="K40" s="46"/>
      <c r="L40" s="45"/>
      <c r="M40" s="45"/>
      <c r="N40" s="47">
        <f t="shared" si="0"/>
        <v>2037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0.2916666666666663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0.30208333333333298</v>
      </c>
      <c r="B48" s="48">
        <f>IF(B33="","",B33)</f>
        <v>26</v>
      </c>
      <c r="C48" s="20">
        <f>IF(C33="","",C33)</f>
        <v>44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29</v>
      </c>
      <c r="G48" s="20">
        <f t="shared" si="1"/>
        <v>11</v>
      </c>
      <c r="H48" s="48">
        <f t="shared" si="1"/>
        <v>0</v>
      </c>
      <c r="I48" s="20">
        <f t="shared" si="1"/>
        <v>18</v>
      </c>
      <c r="J48" s="20">
        <f t="shared" si="1"/>
        <v>5</v>
      </c>
      <c r="K48" s="48" t="str">
        <f t="shared" si="1"/>
        <v/>
      </c>
      <c r="L48" s="20" t="str">
        <f t="shared" si="1"/>
        <v/>
      </c>
      <c r="M48" s="20" t="str">
        <f t="shared" si="1"/>
        <v/>
      </c>
      <c r="N48" s="47">
        <f t="shared" ref="N48:N58" si="2">IF(SUM(B48:M48)&lt;=0,"",SUM(B48:M48))</f>
        <v>133</v>
      </c>
      <c r="O48" s="20"/>
      <c r="P48" s="20"/>
      <c r="Q48" s="93">
        <f t="shared" ref="Q48:Q59" si="3">$A48</f>
        <v>0.30208333333333298</v>
      </c>
      <c r="R48" s="25">
        <f t="shared" ref="R48:R59" si="4">SUM(B48:D48)</f>
        <v>70</v>
      </c>
      <c r="S48" s="25">
        <f t="shared" ref="S48:S59" si="5">SUM(E48:G48)</f>
        <v>40</v>
      </c>
      <c r="T48" s="25">
        <f t="shared" ref="T48:T59" si="6">SUM(H48:J48)</f>
        <v>23</v>
      </c>
      <c r="U48" s="25">
        <f t="shared" ref="U48:U59" si="7">SUM(K48:M48)</f>
        <v>0</v>
      </c>
      <c r="V48" s="25">
        <f t="shared" ref="V48:V59" si="8">SUM(R48:U48)</f>
        <v>133</v>
      </c>
      <c r="W48" s="94">
        <f>MATCH(S64,Q47:Q59,0)</f>
        <v>4</v>
      </c>
    </row>
    <row r="49" spans="1:23">
      <c r="A49" s="43">
        <f>IF(A34="","",A48+15/1440)</f>
        <v>0.31249999999999967</v>
      </c>
      <c r="B49" s="48">
        <f>IF(B34="","",B34)</f>
        <v>56</v>
      </c>
      <c r="C49" s="20">
        <f t="shared" ref="B49:M59" si="9">IF(C34="","",C34-C33)</f>
        <v>66</v>
      </c>
      <c r="D49" s="20" t="str">
        <f t="shared" si="9"/>
        <v/>
      </c>
      <c r="E49" s="48" t="str">
        <f t="shared" si="9"/>
        <v/>
      </c>
      <c r="F49" s="20">
        <f t="shared" si="9"/>
        <v>54</v>
      </c>
      <c r="G49" s="20">
        <f t="shared" si="9"/>
        <v>11</v>
      </c>
      <c r="H49" s="48">
        <f t="shared" si="9"/>
        <v>3</v>
      </c>
      <c r="I49" s="20">
        <f t="shared" si="9"/>
        <v>19</v>
      </c>
      <c r="J49" s="20">
        <f t="shared" si="9"/>
        <v>4</v>
      </c>
      <c r="K49" s="48" t="str">
        <f t="shared" si="9"/>
        <v/>
      </c>
      <c r="L49" s="20" t="str">
        <f t="shared" si="9"/>
        <v/>
      </c>
      <c r="M49" s="20" t="str">
        <f t="shared" si="9"/>
        <v/>
      </c>
      <c r="N49" s="47">
        <f t="shared" si="2"/>
        <v>213</v>
      </c>
      <c r="O49" s="20"/>
      <c r="P49" s="20"/>
      <c r="Q49" s="93">
        <f t="shared" si="3"/>
        <v>0.31249999999999967</v>
      </c>
      <c r="R49" s="25">
        <f t="shared" si="4"/>
        <v>122</v>
      </c>
      <c r="S49" s="25">
        <f t="shared" si="5"/>
        <v>65</v>
      </c>
      <c r="T49" s="25">
        <f t="shared" si="6"/>
        <v>26</v>
      </c>
      <c r="U49" s="25">
        <f t="shared" si="7"/>
        <v>0</v>
      </c>
      <c r="V49" s="25">
        <f t="shared" si="8"/>
        <v>213</v>
      </c>
      <c r="W49" s="94">
        <f>W48+1</f>
        <v>5</v>
      </c>
    </row>
    <row r="50" spans="1:23">
      <c r="A50" s="43">
        <f t="shared" ref="A50:A59" si="10">IF(A35="","",A49+15/1440)</f>
        <v>0.32291666666666635</v>
      </c>
      <c r="B50" s="48">
        <f t="shared" si="9"/>
        <v>40</v>
      </c>
      <c r="C50" s="20">
        <f t="shared" si="9"/>
        <v>90</v>
      </c>
      <c r="D50" s="20" t="str">
        <f t="shared" si="9"/>
        <v/>
      </c>
      <c r="E50" s="48" t="str">
        <f t="shared" si="9"/>
        <v/>
      </c>
      <c r="F50" s="20">
        <f t="shared" si="9"/>
        <v>60</v>
      </c>
      <c r="G50" s="20">
        <f t="shared" si="9"/>
        <v>11</v>
      </c>
      <c r="H50" s="48">
        <f t="shared" si="9"/>
        <v>0</v>
      </c>
      <c r="I50" s="20">
        <f t="shared" si="9"/>
        <v>26</v>
      </c>
      <c r="J50" s="20">
        <f t="shared" si="9"/>
        <v>12</v>
      </c>
      <c r="K50" s="48" t="str">
        <f t="shared" si="9"/>
        <v/>
      </c>
      <c r="L50" s="20" t="str">
        <f t="shared" si="9"/>
        <v/>
      </c>
      <c r="M50" s="20" t="str">
        <f t="shared" si="9"/>
        <v/>
      </c>
      <c r="N50" s="47">
        <f t="shared" si="2"/>
        <v>239</v>
      </c>
      <c r="O50" s="20"/>
      <c r="P50" s="20"/>
      <c r="Q50" s="93">
        <f t="shared" si="3"/>
        <v>0.32291666666666635</v>
      </c>
      <c r="R50" s="25">
        <f t="shared" si="4"/>
        <v>130</v>
      </c>
      <c r="S50" s="25">
        <f t="shared" si="5"/>
        <v>71</v>
      </c>
      <c r="T50" s="25">
        <f t="shared" si="6"/>
        <v>38</v>
      </c>
      <c r="U50" s="25">
        <f t="shared" si="7"/>
        <v>0</v>
      </c>
      <c r="V50" s="25">
        <f t="shared" si="8"/>
        <v>239</v>
      </c>
      <c r="W50" s="94">
        <f>W49+1</f>
        <v>6</v>
      </c>
    </row>
    <row r="51" spans="1:23">
      <c r="A51" s="43">
        <f t="shared" si="10"/>
        <v>0.33333333333333304</v>
      </c>
      <c r="B51" s="48">
        <f t="shared" si="9"/>
        <v>67</v>
      </c>
      <c r="C51" s="20">
        <f t="shared" si="9"/>
        <v>137</v>
      </c>
      <c r="D51" s="20" t="str">
        <f t="shared" si="9"/>
        <v/>
      </c>
      <c r="E51" s="48" t="str">
        <f t="shared" si="9"/>
        <v/>
      </c>
      <c r="F51" s="20">
        <f t="shared" si="9"/>
        <v>132</v>
      </c>
      <c r="G51" s="20">
        <f t="shared" si="9"/>
        <v>14</v>
      </c>
      <c r="H51" s="48">
        <f t="shared" si="9"/>
        <v>4</v>
      </c>
      <c r="I51" s="20">
        <f t="shared" si="9"/>
        <v>42</v>
      </c>
      <c r="J51" s="20">
        <f t="shared" si="9"/>
        <v>5</v>
      </c>
      <c r="K51" s="48" t="str">
        <f t="shared" si="9"/>
        <v/>
      </c>
      <c r="L51" s="20" t="str">
        <f t="shared" si="9"/>
        <v/>
      </c>
      <c r="M51" s="20" t="str">
        <f t="shared" si="9"/>
        <v/>
      </c>
      <c r="N51" s="47">
        <f t="shared" si="2"/>
        <v>401</v>
      </c>
      <c r="O51" s="20"/>
      <c r="P51" s="20"/>
      <c r="Q51" s="93">
        <f t="shared" si="3"/>
        <v>0.33333333333333304</v>
      </c>
      <c r="R51" s="25">
        <f t="shared" si="4"/>
        <v>204</v>
      </c>
      <c r="S51" s="25">
        <f t="shared" si="5"/>
        <v>146</v>
      </c>
      <c r="T51" s="25">
        <f t="shared" si="6"/>
        <v>51</v>
      </c>
      <c r="U51" s="25">
        <f t="shared" si="7"/>
        <v>0</v>
      </c>
      <c r="V51" s="25">
        <f t="shared" si="8"/>
        <v>401</v>
      </c>
      <c r="W51" s="94">
        <f>W50+1</f>
        <v>7</v>
      </c>
    </row>
    <row r="52" spans="1:23">
      <c r="A52" s="43">
        <f t="shared" si="10"/>
        <v>0.34374999999999972</v>
      </c>
      <c r="B52" s="48">
        <f t="shared" si="9"/>
        <v>26</v>
      </c>
      <c r="C52" s="20">
        <f t="shared" si="9"/>
        <v>87</v>
      </c>
      <c r="D52" s="20" t="str">
        <f t="shared" si="9"/>
        <v/>
      </c>
      <c r="E52" s="48" t="str">
        <f t="shared" si="9"/>
        <v/>
      </c>
      <c r="F52" s="20">
        <f t="shared" si="9"/>
        <v>108</v>
      </c>
      <c r="G52" s="20">
        <f t="shared" si="9"/>
        <v>14</v>
      </c>
      <c r="H52" s="48">
        <f t="shared" si="9"/>
        <v>4</v>
      </c>
      <c r="I52" s="20">
        <f t="shared" si="9"/>
        <v>30</v>
      </c>
      <c r="J52" s="20">
        <f t="shared" si="9"/>
        <v>5</v>
      </c>
      <c r="K52" s="48" t="str">
        <f t="shared" si="9"/>
        <v/>
      </c>
      <c r="L52" s="20" t="str">
        <f t="shared" si="9"/>
        <v/>
      </c>
      <c r="M52" s="20" t="str">
        <f t="shared" si="9"/>
        <v/>
      </c>
      <c r="N52" s="47">
        <f t="shared" si="2"/>
        <v>274</v>
      </c>
      <c r="O52" s="20"/>
      <c r="P52" s="20"/>
      <c r="Q52" s="93">
        <f t="shared" si="3"/>
        <v>0.34374999999999972</v>
      </c>
      <c r="R52" s="25">
        <f t="shared" si="4"/>
        <v>113</v>
      </c>
      <c r="S52" s="25">
        <f t="shared" si="5"/>
        <v>122</v>
      </c>
      <c r="T52" s="25">
        <f t="shared" si="6"/>
        <v>39</v>
      </c>
      <c r="U52" s="25">
        <f t="shared" si="7"/>
        <v>0</v>
      </c>
      <c r="V52" s="25">
        <f t="shared" si="8"/>
        <v>274</v>
      </c>
    </row>
    <row r="53" spans="1:23">
      <c r="A53" s="43">
        <f t="shared" si="10"/>
        <v>0.35416666666666641</v>
      </c>
      <c r="B53" s="48">
        <f t="shared" si="9"/>
        <v>39</v>
      </c>
      <c r="C53" s="20">
        <f t="shared" si="9"/>
        <v>87</v>
      </c>
      <c r="D53" s="20" t="str">
        <f t="shared" si="9"/>
        <v/>
      </c>
      <c r="E53" s="48" t="str">
        <f t="shared" si="9"/>
        <v/>
      </c>
      <c r="F53" s="20">
        <f t="shared" si="9"/>
        <v>66</v>
      </c>
      <c r="G53" s="20">
        <f t="shared" si="9"/>
        <v>11</v>
      </c>
      <c r="H53" s="48">
        <f t="shared" si="9"/>
        <v>1</v>
      </c>
      <c r="I53" s="20">
        <f t="shared" si="9"/>
        <v>24</v>
      </c>
      <c r="J53" s="20">
        <f t="shared" si="9"/>
        <v>8</v>
      </c>
      <c r="K53" s="48" t="str">
        <f t="shared" si="9"/>
        <v/>
      </c>
      <c r="L53" s="20" t="str">
        <f t="shared" si="9"/>
        <v/>
      </c>
      <c r="M53" s="20" t="str">
        <f t="shared" si="9"/>
        <v/>
      </c>
      <c r="N53" s="47">
        <f t="shared" si="2"/>
        <v>236</v>
      </c>
      <c r="O53" s="20"/>
      <c r="P53" s="20"/>
      <c r="Q53" s="93">
        <f t="shared" si="3"/>
        <v>0.35416666666666641</v>
      </c>
      <c r="R53" s="25">
        <f t="shared" si="4"/>
        <v>126</v>
      </c>
      <c r="S53" s="25">
        <f t="shared" si="5"/>
        <v>77</v>
      </c>
      <c r="T53" s="25">
        <f t="shared" si="6"/>
        <v>33</v>
      </c>
      <c r="U53" s="25">
        <f t="shared" si="7"/>
        <v>0</v>
      </c>
      <c r="V53" s="25">
        <f t="shared" si="8"/>
        <v>236</v>
      </c>
    </row>
    <row r="54" spans="1:23">
      <c r="A54" s="43">
        <f t="shared" si="10"/>
        <v>0.36458333333333309</v>
      </c>
      <c r="B54" s="48">
        <f t="shared" si="9"/>
        <v>36</v>
      </c>
      <c r="C54" s="20">
        <f t="shared" si="9"/>
        <v>83</v>
      </c>
      <c r="D54" s="20" t="str">
        <f t="shared" si="9"/>
        <v/>
      </c>
      <c r="E54" s="48" t="str">
        <f t="shared" si="9"/>
        <v/>
      </c>
      <c r="F54" s="20">
        <f t="shared" si="9"/>
        <v>136</v>
      </c>
      <c r="G54" s="20">
        <f t="shared" si="9"/>
        <v>10</v>
      </c>
      <c r="H54" s="48">
        <f t="shared" si="9"/>
        <v>7</v>
      </c>
      <c r="I54" s="20">
        <f t="shared" si="9"/>
        <v>28</v>
      </c>
      <c r="J54" s="20">
        <f t="shared" si="9"/>
        <v>10</v>
      </c>
      <c r="K54" s="48" t="str">
        <f t="shared" si="9"/>
        <v/>
      </c>
      <c r="L54" s="20" t="str">
        <f t="shared" si="9"/>
        <v/>
      </c>
      <c r="M54" s="20" t="str">
        <f t="shared" si="9"/>
        <v/>
      </c>
      <c r="N54" s="47">
        <f t="shared" si="2"/>
        <v>310</v>
      </c>
      <c r="O54" s="20"/>
      <c r="P54" s="20"/>
      <c r="Q54" s="93">
        <f t="shared" si="3"/>
        <v>0.36458333333333309</v>
      </c>
      <c r="R54" s="25">
        <f t="shared" si="4"/>
        <v>119</v>
      </c>
      <c r="S54" s="25">
        <f t="shared" si="5"/>
        <v>146</v>
      </c>
      <c r="T54" s="25">
        <f t="shared" si="6"/>
        <v>45</v>
      </c>
      <c r="U54" s="25">
        <f t="shared" si="7"/>
        <v>0</v>
      </c>
      <c r="V54" s="25">
        <f t="shared" si="8"/>
        <v>310</v>
      </c>
    </row>
    <row r="55" spans="1:23">
      <c r="A55" s="43">
        <f t="shared" si="10"/>
        <v>0.37499999999999978</v>
      </c>
      <c r="B55" s="48">
        <f t="shared" si="9"/>
        <v>42</v>
      </c>
      <c r="C55" s="20">
        <f t="shared" si="9"/>
        <v>83</v>
      </c>
      <c r="D55" s="20" t="str">
        <f t="shared" si="9"/>
        <v/>
      </c>
      <c r="E55" s="48" t="str">
        <f t="shared" si="9"/>
        <v/>
      </c>
      <c r="F55" s="20">
        <f t="shared" si="9"/>
        <v>76</v>
      </c>
      <c r="G55" s="20">
        <f t="shared" si="9"/>
        <v>8</v>
      </c>
      <c r="H55" s="48">
        <f t="shared" si="9"/>
        <v>4</v>
      </c>
      <c r="I55" s="20">
        <f t="shared" si="9"/>
        <v>32</v>
      </c>
      <c r="J55" s="20">
        <f t="shared" si="9"/>
        <v>12</v>
      </c>
      <c r="K55" s="48" t="str">
        <f t="shared" si="9"/>
        <v/>
      </c>
      <c r="L55" s="20" t="str">
        <f t="shared" si="9"/>
        <v/>
      </c>
      <c r="M55" s="20" t="str">
        <f t="shared" si="9"/>
        <v/>
      </c>
      <c r="N55" s="47">
        <f t="shared" si="2"/>
        <v>257</v>
      </c>
      <c r="O55" s="20"/>
      <c r="P55" s="20"/>
      <c r="Q55" s="93">
        <f t="shared" si="3"/>
        <v>0.37499999999999978</v>
      </c>
      <c r="R55" s="25">
        <f t="shared" si="4"/>
        <v>125</v>
      </c>
      <c r="S55" s="25">
        <f t="shared" si="5"/>
        <v>84</v>
      </c>
      <c r="T55" s="25">
        <f t="shared" si="6"/>
        <v>48</v>
      </c>
      <c r="U55" s="25">
        <f t="shared" si="7"/>
        <v>0</v>
      </c>
      <c r="V55" s="25">
        <f t="shared" si="8"/>
        <v>257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0.33333333333333304</v>
      </c>
      <c r="R61" s="25">
        <f>MAX(INDEX(R48:V59,W48,1),INDEX(R48:V59,W49,1),INDEX(R48:V59,W50,1),INDEX(R48:V59,W51,1))</f>
        <v>204</v>
      </c>
      <c r="S61" s="25">
        <f>MAX(INDEX(R48:V59,W48,2),INDEX(R48:V59,W49,2),INDEX(R48:V59,W50,2),INDEX(R48:V59,W51,2))</f>
        <v>146</v>
      </c>
      <c r="T61" s="25">
        <f>MAX(INDEX(R48:V59,W48,3),INDEX(R48:V59,W49,3),INDEX(R48:V59,W50,3),INDEX(R48:V59,W51,3))</f>
        <v>51</v>
      </c>
      <c r="U61" s="25">
        <f>MAX(INDEX(R48:V59,W48,4),INDEX(R48:V59,W49,4),INDEX(R48:V59,W50,4),INDEX(R48:V59,W51,4))</f>
        <v>0</v>
      </c>
      <c r="V61" s="25">
        <f>MAX(INDEX(V48:V59,W48,1),INDEX(V48:V59,W49,1),INDEX(V48:V59,W50,1),INDEX(V48:V59,W51,1))</f>
        <v>401</v>
      </c>
      <c r="W61" s="19">
        <f>MATCH(V61,V48:V59,0)</f>
        <v>4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0.2916666666666663</v>
      </c>
      <c r="B63" s="48">
        <f t="shared" ref="B63:M63" si="11">IF(B33="","",IF($A$63&lt;&gt;"",SUM(B48:B51),""))</f>
        <v>189</v>
      </c>
      <c r="C63" s="20">
        <f t="shared" si="11"/>
        <v>337</v>
      </c>
      <c r="D63" s="20" t="str">
        <f t="shared" si="11"/>
        <v/>
      </c>
      <c r="E63" s="48" t="str">
        <f t="shared" si="11"/>
        <v/>
      </c>
      <c r="F63" s="20">
        <f t="shared" si="11"/>
        <v>275</v>
      </c>
      <c r="G63" s="20">
        <f t="shared" si="11"/>
        <v>47</v>
      </c>
      <c r="H63" s="48">
        <f t="shared" si="11"/>
        <v>7</v>
      </c>
      <c r="I63" s="20">
        <f t="shared" si="11"/>
        <v>105</v>
      </c>
      <c r="J63" s="20">
        <f t="shared" si="11"/>
        <v>26</v>
      </c>
      <c r="K63" s="48" t="str">
        <f t="shared" si="11"/>
        <v/>
      </c>
      <c r="L63" s="20" t="str">
        <f t="shared" si="11"/>
        <v/>
      </c>
      <c r="M63" s="20" t="str">
        <f t="shared" si="11"/>
        <v/>
      </c>
      <c r="N63" s="47">
        <f t="shared" ref="N63:N71" si="12">IF(SUM(B63:M63)&lt;=0,"",SUM(B63:M63))</f>
        <v>986</v>
      </c>
      <c r="O63" s="20"/>
      <c r="P63" s="20"/>
      <c r="Q63" s="93">
        <f t="shared" ref="Q63:Q71" si="13">$A63</f>
        <v>0.2916666666666663</v>
      </c>
      <c r="R63" s="19">
        <f>MAX(N63:N71)</f>
        <v>1221</v>
      </c>
    </row>
    <row r="64" spans="1:23" s="59" customFormat="1">
      <c r="A64" s="43">
        <f t="shared" ref="A64:A71" si="14">IF(A63="","",IF(A52="","",A63+15/1440))</f>
        <v>0.30208333333333298</v>
      </c>
      <c r="B64" s="48">
        <f>IF($A$64="","",IF(B52&lt;&gt;"",SUM(B49:B52),""))</f>
        <v>189</v>
      </c>
      <c r="C64" s="20">
        <f>IF($A$64="","",IF(C52&lt;&gt;"",SUM(C49:C52),""))</f>
        <v>380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354</v>
      </c>
      <c r="G64" s="20">
        <f t="shared" si="15"/>
        <v>50</v>
      </c>
      <c r="H64" s="48">
        <f t="shared" si="15"/>
        <v>11</v>
      </c>
      <c r="I64" s="20">
        <f t="shared" si="15"/>
        <v>117</v>
      </c>
      <c r="J64" s="20">
        <f t="shared" si="15"/>
        <v>26</v>
      </c>
      <c r="K64" s="48" t="str">
        <f t="shared" si="15"/>
        <v/>
      </c>
      <c r="L64" s="20" t="str">
        <f t="shared" si="15"/>
        <v/>
      </c>
      <c r="M64" s="20" t="str">
        <f t="shared" si="15"/>
        <v/>
      </c>
      <c r="N64" s="47">
        <f t="shared" si="12"/>
        <v>1127</v>
      </c>
      <c r="O64" s="20"/>
      <c r="P64" s="20"/>
      <c r="Q64" s="93">
        <f t="shared" si="13"/>
        <v>0.30208333333333298</v>
      </c>
      <c r="R64" s="19">
        <f>MATCH(R63,N63:N71,0)</f>
        <v>4</v>
      </c>
      <c r="S64" s="93">
        <f>INDEX(Q63:Q71,R64,1)</f>
        <v>0.32291666666666635</v>
      </c>
      <c r="T64" s="19"/>
    </row>
    <row r="65" spans="1:20">
      <c r="A65" s="43">
        <f t="shared" si="14"/>
        <v>0.31249999999999967</v>
      </c>
      <c r="B65" s="48">
        <f>IF($A$65="","",IF(B53&lt;&gt;"",SUM(B50:B53),""))</f>
        <v>172</v>
      </c>
      <c r="C65" s="20">
        <f>IF($A$65="","",IF(C53&lt;&gt;"",SUM(C50:C53),""))</f>
        <v>401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366</v>
      </c>
      <c r="G65" s="20">
        <f t="shared" si="16"/>
        <v>50</v>
      </c>
      <c r="H65" s="48">
        <f t="shared" si="16"/>
        <v>9</v>
      </c>
      <c r="I65" s="20">
        <f t="shared" si="16"/>
        <v>122</v>
      </c>
      <c r="J65" s="20">
        <f t="shared" si="16"/>
        <v>30</v>
      </c>
      <c r="K65" s="48" t="str">
        <f t="shared" si="16"/>
        <v/>
      </c>
      <c r="L65" s="20" t="str">
        <f t="shared" si="16"/>
        <v/>
      </c>
      <c r="M65" s="20" t="str">
        <f t="shared" si="16"/>
        <v/>
      </c>
      <c r="N65" s="47">
        <f t="shared" si="12"/>
        <v>1150</v>
      </c>
      <c r="O65" s="20"/>
      <c r="P65" s="20"/>
      <c r="Q65" s="93">
        <f t="shared" si="13"/>
        <v>0.31249999999999967</v>
      </c>
    </row>
    <row r="66" spans="1:20">
      <c r="A66" s="43">
        <f t="shared" si="14"/>
        <v>0.32291666666666635</v>
      </c>
      <c r="B66" s="48">
        <f>IF($A$64="","",IF(B54&lt;&gt;"",SUM(B51:B54),""))</f>
        <v>168</v>
      </c>
      <c r="C66" s="20">
        <f>IF($A$64="","",IF(C54&lt;&gt;"",SUM(C51:C54),""))</f>
        <v>394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442</v>
      </c>
      <c r="G66" s="20">
        <f t="shared" si="17"/>
        <v>49</v>
      </c>
      <c r="H66" s="48">
        <f t="shared" si="17"/>
        <v>16</v>
      </c>
      <c r="I66" s="20">
        <f t="shared" si="17"/>
        <v>124</v>
      </c>
      <c r="J66" s="20">
        <f t="shared" si="17"/>
        <v>28</v>
      </c>
      <c r="K66" s="48" t="str">
        <f t="shared" si="17"/>
        <v/>
      </c>
      <c r="L66" s="20" t="str">
        <f t="shared" si="17"/>
        <v/>
      </c>
      <c r="M66" s="20" t="str">
        <f t="shared" si="17"/>
        <v/>
      </c>
      <c r="N66" s="47">
        <f>IF(SUM(B66:M66)&lt;=0,"",SUM(B66:M66))</f>
        <v>1221</v>
      </c>
      <c r="O66" s="20"/>
      <c r="P66" s="20"/>
      <c r="Q66" s="93">
        <f t="shared" si="13"/>
        <v>0.32291666666666635</v>
      </c>
    </row>
    <row r="67" spans="1:20">
      <c r="A67" s="43">
        <f t="shared" si="14"/>
        <v>0.33333333333333304</v>
      </c>
      <c r="B67" s="48">
        <f>IF($A$65="","",IF(B55&lt;&gt;"",SUM(B52:B55),""))</f>
        <v>143</v>
      </c>
      <c r="C67" s="20">
        <f>IF($A$65="","",IF(C55&lt;&gt;"",SUM(C52:C55),""))</f>
        <v>340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386</v>
      </c>
      <c r="G67" s="20">
        <f t="shared" si="18"/>
        <v>43</v>
      </c>
      <c r="H67" s="48">
        <f t="shared" si="18"/>
        <v>16</v>
      </c>
      <c r="I67" s="20">
        <f t="shared" si="18"/>
        <v>114</v>
      </c>
      <c r="J67" s="20">
        <f t="shared" si="18"/>
        <v>35</v>
      </c>
      <c r="K67" s="48" t="str">
        <f t="shared" si="18"/>
        <v/>
      </c>
      <c r="L67" s="20" t="str">
        <f t="shared" si="18"/>
        <v/>
      </c>
      <c r="M67" s="20" t="str">
        <f t="shared" si="18"/>
        <v/>
      </c>
      <c r="N67" s="47">
        <f>IF(SUM(B67:M67)&lt;=0,"",SUM(B67:M67))</f>
        <v>1077</v>
      </c>
      <c r="O67" s="20"/>
      <c r="P67" s="20"/>
      <c r="Q67" s="93">
        <f t="shared" si="13"/>
        <v>0.33333333333333304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 t="str">
        <f>IF($A$71="","",IF(B59&lt;&gt;"",SUM(B56:B59),""))</f>
        <v/>
      </c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458</v>
      </c>
      <c r="I76" s="25">
        <f>IF(D33="",0,INDEX($B$63:$M$71,$R$64,3))+IF(E33="",0,INDEX($B$63:$M$71,$R$64,4))+IF(L33="",0,INDEX($B$63:$M$71,$R$64,11))</f>
        <v>0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562</v>
      </c>
      <c r="F77" s="25">
        <f>IF(E33="",0,INDEX($B$63:$M$71,$R$64,4))+IF(F33="",0,INDEX($B$63:$M$71,$R$64,5))+IF(G33="",0,INDEX($B$63:$M$71,$R$64,6))</f>
        <v>491</v>
      </c>
      <c r="I77" s="25">
        <f>IF(H33="",0,INDEX($B$63:$M$71,$R$64,7))+IF(I33="",0,INDEX($B$63:$M$71,$R$64,8))+IF(J33="",0,INDEX($B$63:$M$71,$R$64,9))</f>
        <v>168</v>
      </c>
      <c r="L77" s="25">
        <f>IF(K33="",0,INDEX($B$63:$M$71,$R$64,10))+IF(L33="",0,INDEX($B$63:$M$71,$R$64,11))+IF(M33="",0,INDEX($B$63:$M$71,$R$64,12))</f>
        <v>0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422</v>
      </c>
      <c r="L78" s="25">
        <f>IF(B33="",0,INDEX($B$63:$M$71,$R$64,1))+IF(G33="",0,INDEX($B$63:$M$71,$R$64,6))+IF(I33="",0,INDEX($B$63:$M$71,$R$64,8))</f>
        <v>341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zoomScale="70" zoomScaleNormal="70" workbookViewId="0">
      <selection activeCell="L41" sqref="L41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0.8554687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tr">
        <f>+vehicles!E4</f>
        <v>S. Center - E. Liberty</v>
      </c>
      <c r="F4" s="64"/>
      <c r="G4" s="64"/>
      <c r="H4" s="64"/>
      <c r="I4" s="2" t="s">
        <v>5</v>
      </c>
      <c r="J4" s="2"/>
      <c r="K4" s="65">
        <v>0.29166666666666702</v>
      </c>
      <c r="L4" s="66" t="s">
        <v>6</v>
      </c>
      <c r="M4" s="67">
        <v>0.375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f>+vehicles!K5</f>
        <v>40512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0.33333333333333304</v>
      </c>
      <c r="D7" s="17"/>
      <c r="E7" s="18" t="s">
        <v>6</v>
      </c>
      <c r="F7" s="16">
        <f>C7+60/1440</f>
        <v>0.37499999999999972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0.36458333333333309</v>
      </c>
      <c r="D8" s="17"/>
      <c r="E8" s="18" t="s">
        <v>6</v>
      </c>
      <c r="F8" s="16">
        <f>Q61</f>
        <v>0.37499999999999978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S. Center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0.375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>
        <f>IF(L29="N/A","N/A",IF(I29="N/A","N/A",INDEX($B$63:$M$71,$R$64,11)))</f>
        <v>12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12</v>
      </c>
      <c r="K11" s="81">
        <f>IF(L29="N/A","N/A",L78)</f>
        <v>14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E. Liberty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0.375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 t="str">
        <f>IF(C29="N/A","N/A",IF(L29="N/A","N/A",INDEX($B$63:$M$71,$R$64,1)))</f>
        <v/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9</v>
      </c>
      <c r="I15" s="14"/>
      <c r="J15" s="14"/>
      <c r="K15" s="14"/>
      <c r="L15" s="70"/>
      <c r="M15" s="58">
        <f>IF(F29="N/A","N/A",F77)</f>
        <v>9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3</v>
      </c>
      <c r="C17" s="14"/>
      <c r="D17" s="14"/>
      <c r="E17" s="14"/>
      <c r="F17" s="25">
        <f>IF(F29="N/A","N/A",IF(C29="N/A","N/A",INDEX($B$63:$M$71,$R$64,5)))</f>
        <v>9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38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 t="s">
        <v>2</v>
      </c>
      <c r="H19" s="84">
        <f>IF(C29="N/A","N/A",C77)</f>
        <v>3</v>
      </c>
      <c r="I19" s="14"/>
      <c r="J19" s="14"/>
      <c r="K19" s="14"/>
      <c r="L19" s="70"/>
      <c r="M19" s="58">
        <f>IF(F29="N/A","N/A",F78)</f>
        <v>3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E. Liberty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0.75</v>
      </c>
      <c r="N22" s="86"/>
    </row>
    <row r="23" spans="1:28" ht="30" customHeight="1">
      <c r="A23" s="78"/>
      <c r="B23" s="14"/>
      <c r="C23" s="79" t="str">
        <f>IF(I29="N/A","N/A",IF(C29="N/A","N/A",INDEX($B$63:$M$71,$R$64,7)))</f>
        <v/>
      </c>
      <c r="D23" s="23">
        <f>IF(I29="N/A","N/A",IF(L29="N/A","N/A",INDEX($B$63:$M$71,$R$64,8)))</f>
        <v>14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12</v>
      </c>
      <c r="K23" s="89">
        <f>IF(I29="N/A","N/A",I77)</f>
        <v>14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S. Center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0.7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0.55882352941176472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tr">
        <f>+vehicles!C29</f>
        <v>E. Liberty</v>
      </c>
      <c r="D29" s="29"/>
      <c r="E29" s="27"/>
      <c r="F29" s="28" t="str">
        <f>+vehicles!F29</f>
        <v>E. Liberty</v>
      </c>
      <c r="G29" s="29"/>
      <c r="H29" s="27"/>
      <c r="I29" s="28" t="str">
        <f>+vehicles!I29</f>
        <v>S. Center</v>
      </c>
      <c r="J29" s="29"/>
      <c r="K29" s="27"/>
      <c r="L29" s="28" t="str">
        <f>+vehicles!L29</f>
        <v>S. Center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</v>
      </c>
      <c r="C31" s="37" t="s">
        <v>24</v>
      </c>
      <c r="D31" s="37" t="s">
        <v>2</v>
      </c>
      <c r="E31" s="36" t="s">
        <v>2</v>
      </c>
      <c r="F31" s="37" t="s">
        <v>24</v>
      </c>
      <c r="G31" s="37" t="s">
        <v>2</v>
      </c>
      <c r="H31" s="36" t="s">
        <v>2</v>
      </c>
      <c r="I31" s="37" t="s">
        <v>24</v>
      </c>
      <c r="J31" s="37" t="s">
        <v>2</v>
      </c>
      <c r="K31" s="36" t="s">
        <v>2</v>
      </c>
      <c r="L31" s="37" t="s">
        <v>24</v>
      </c>
      <c r="M31" s="37" t="s">
        <v>2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0.30208333333333298</v>
      </c>
      <c r="B33" s="44"/>
      <c r="C33" s="45">
        <v>2</v>
      </c>
      <c r="D33" s="45"/>
      <c r="E33" s="44"/>
      <c r="F33" s="45">
        <v>4</v>
      </c>
      <c r="G33" s="45"/>
      <c r="H33" s="44"/>
      <c r="I33" s="45">
        <v>2</v>
      </c>
      <c r="J33" s="45"/>
      <c r="K33" s="46"/>
      <c r="L33" s="45">
        <v>0</v>
      </c>
      <c r="M33" s="45"/>
      <c r="N33" s="47">
        <f t="shared" ref="N33:N40" si="0">IF(SUM(B33:M33)&lt;=0,"",SUM(B33:M33))</f>
        <v>8</v>
      </c>
      <c r="O33" s="20"/>
      <c r="P33" s="20"/>
      <c r="Q33" s="93"/>
    </row>
    <row r="34" spans="1:28">
      <c r="A34" s="43">
        <v>0.3125</v>
      </c>
      <c r="B34" s="44"/>
      <c r="C34" s="45">
        <v>3</v>
      </c>
      <c r="D34" s="45"/>
      <c r="E34" s="44"/>
      <c r="F34" s="45">
        <v>7</v>
      </c>
      <c r="G34" s="45"/>
      <c r="H34" s="44"/>
      <c r="I34" s="45">
        <v>5</v>
      </c>
      <c r="J34" s="45"/>
      <c r="K34" s="46"/>
      <c r="L34" s="45">
        <v>0</v>
      </c>
      <c r="M34" s="45"/>
      <c r="N34" s="47">
        <f t="shared" si="0"/>
        <v>15</v>
      </c>
      <c r="O34" s="20"/>
      <c r="P34" s="20"/>
      <c r="Q34" s="93"/>
    </row>
    <row r="35" spans="1:28">
      <c r="A35" s="43">
        <v>0.32291666666666702</v>
      </c>
      <c r="B35" s="44"/>
      <c r="C35" s="45">
        <v>3</v>
      </c>
      <c r="D35" s="45"/>
      <c r="E35" s="44"/>
      <c r="F35" s="45">
        <v>7</v>
      </c>
      <c r="G35" s="45"/>
      <c r="H35" s="44"/>
      <c r="I35" s="45">
        <v>8</v>
      </c>
      <c r="J35" s="45"/>
      <c r="K35" s="46"/>
      <c r="L35" s="45">
        <v>0</v>
      </c>
      <c r="M35" s="45"/>
      <c r="N35" s="47">
        <f t="shared" si="0"/>
        <v>18</v>
      </c>
      <c r="O35" s="20"/>
      <c r="P35" s="20"/>
      <c r="Q35" s="93"/>
    </row>
    <row r="36" spans="1:28" s="59" customFormat="1">
      <c r="A36" s="43">
        <v>0.33333333333333398</v>
      </c>
      <c r="B36" s="44"/>
      <c r="C36" s="45">
        <v>3</v>
      </c>
      <c r="D36" s="45"/>
      <c r="E36" s="44"/>
      <c r="F36" s="45">
        <v>8</v>
      </c>
      <c r="G36" s="45"/>
      <c r="H36" s="44"/>
      <c r="I36" s="45">
        <v>12</v>
      </c>
      <c r="J36" s="45"/>
      <c r="K36" s="46"/>
      <c r="L36" s="45">
        <v>1</v>
      </c>
      <c r="M36" s="45"/>
      <c r="N36" s="47">
        <f t="shared" si="0"/>
        <v>24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0.343750000000001</v>
      </c>
      <c r="B37" s="44"/>
      <c r="C37" s="45">
        <v>3</v>
      </c>
      <c r="D37" s="45"/>
      <c r="E37" s="44"/>
      <c r="F37" s="45">
        <v>10</v>
      </c>
      <c r="G37" s="45"/>
      <c r="H37" s="44"/>
      <c r="I37" s="45">
        <v>14</v>
      </c>
      <c r="J37" s="45"/>
      <c r="K37" s="46"/>
      <c r="L37" s="45">
        <v>3</v>
      </c>
      <c r="M37" s="45"/>
      <c r="N37" s="47">
        <f t="shared" si="0"/>
        <v>30</v>
      </c>
      <c r="O37" s="20"/>
      <c r="P37" s="20"/>
      <c r="Q37" s="93"/>
    </row>
    <row r="38" spans="1:28">
      <c r="A38" s="43">
        <v>0.35416666666666802</v>
      </c>
      <c r="B38" s="44"/>
      <c r="C38" s="45">
        <v>3</v>
      </c>
      <c r="D38" s="45"/>
      <c r="E38" s="44"/>
      <c r="F38" s="45">
        <v>11</v>
      </c>
      <c r="G38" s="45"/>
      <c r="H38" s="44"/>
      <c r="I38" s="45">
        <v>16</v>
      </c>
      <c r="J38" s="45"/>
      <c r="K38" s="46"/>
      <c r="L38" s="45">
        <v>3</v>
      </c>
      <c r="M38" s="45"/>
      <c r="N38" s="47">
        <f t="shared" si="0"/>
        <v>33</v>
      </c>
      <c r="O38" s="20"/>
      <c r="P38" s="20"/>
      <c r="Q38" s="93"/>
    </row>
    <row r="39" spans="1:28">
      <c r="A39" s="43">
        <v>0.36458333333333498</v>
      </c>
      <c r="B39" s="44"/>
      <c r="C39" s="45">
        <v>5</v>
      </c>
      <c r="D39" s="45"/>
      <c r="E39" s="44"/>
      <c r="F39" s="45">
        <v>14</v>
      </c>
      <c r="G39" s="45"/>
      <c r="H39" s="44"/>
      <c r="I39" s="45">
        <v>21</v>
      </c>
      <c r="J39" s="45"/>
      <c r="K39" s="46"/>
      <c r="L39" s="45">
        <v>5</v>
      </c>
      <c r="M39" s="45"/>
      <c r="N39" s="47">
        <f t="shared" si="0"/>
        <v>45</v>
      </c>
      <c r="O39" s="20"/>
      <c r="P39" s="20"/>
      <c r="Q39" s="93"/>
    </row>
    <row r="40" spans="1:28">
      <c r="A40" s="43">
        <v>0.375000000000002</v>
      </c>
      <c r="B40" s="44"/>
      <c r="C40" s="45">
        <v>6</v>
      </c>
      <c r="D40" s="45"/>
      <c r="E40" s="44"/>
      <c r="F40" s="45">
        <v>17</v>
      </c>
      <c r="G40" s="45"/>
      <c r="H40" s="44"/>
      <c r="I40" s="45">
        <v>26</v>
      </c>
      <c r="J40" s="45"/>
      <c r="K40" s="46"/>
      <c r="L40" s="45">
        <v>13</v>
      </c>
      <c r="M40" s="45"/>
      <c r="N40" s="47">
        <f t="shared" si="0"/>
        <v>62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0.2916666666666663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0.30208333333333298</v>
      </c>
      <c r="B48" s="48" t="str">
        <f>IF(B33="","",B33)</f>
        <v/>
      </c>
      <c r="C48" s="20">
        <f>IF(C33="","",C33)</f>
        <v>2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4</v>
      </c>
      <c r="G48" s="20" t="str">
        <f t="shared" si="1"/>
        <v/>
      </c>
      <c r="H48" s="48" t="str">
        <f t="shared" si="1"/>
        <v/>
      </c>
      <c r="I48" s="20">
        <f t="shared" si="1"/>
        <v>2</v>
      </c>
      <c r="J48" s="20" t="str">
        <f t="shared" si="1"/>
        <v/>
      </c>
      <c r="K48" s="48" t="str">
        <f t="shared" si="1"/>
        <v/>
      </c>
      <c r="L48" s="20">
        <f t="shared" si="1"/>
        <v>0</v>
      </c>
      <c r="M48" s="20" t="str">
        <f t="shared" si="1"/>
        <v/>
      </c>
      <c r="N48" s="47">
        <f t="shared" ref="N48:N58" si="2">IF(SUM(B48:M48)&lt;=0,"",SUM(B48:M48))</f>
        <v>8</v>
      </c>
      <c r="O48" s="20"/>
      <c r="P48" s="20"/>
      <c r="Q48" s="93">
        <f t="shared" ref="Q48:Q59" si="3">$A48</f>
        <v>0.30208333333333298</v>
      </c>
      <c r="R48" s="25">
        <f t="shared" ref="R48:R59" si="4">SUM(B48:D48)</f>
        <v>2</v>
      </c>
      <c r="S48" s="25">
        <f t="shared" ref="S48:S59" si="5">SUM(E48:G48)</f>
        <v>4</v>
      </c>
      <c r="T48" s="25">
        <f t="shared" ref="T48:T59" si="6">SUM(H48:J48)</f>
        <v>2</v>
      </c>
      <c r="U48" s="25">
        <f t="shared" ref="U48:U59" si="7">SUM(K48:M48)</f>
        <v>0</v>
      </c>
      <c r="V48" s="25">
        <f t="shared" ref="V48:V59" si="8">SUM(R48:U48)</f>
        <v>8</v>
      </c>
      <c r="W48" s="94">
        <f>MATCH(S64,Q47:Q59,0)</f>
        <v>5</v>
      </c>
    </row>
    <row r="49" spans="1:23">
      <c r="A49" s="43">
        <f>IF(A34="","",A48+15/1440)</f>
        <v>0.31249999999999967</v>
      </c>
      <c r="B49" s="48" t="str">
        <f t="shared" ref="B49:M59" si="9">IF(B34="","",B34-B33)</f>
        <v/>
      </c>
      <c r="C49" s="20">
        <f t="shared" si="9"/>
        <v>1</v>
      </c>
      <c r="D49" s="20" t="str">
        <f t="shared" si="9"/>
        <v/>
      </c>
      <c r="E49" s="48" t="str">
        <f t="shared" si="9"/>
        <v/>
      </c>
      <c r="F49" s="20">
        <f t="shared" si="9"/>
        <v>3</v>
      </c>
      <c r="G49" s="20" t="str">
        <f t="shared" si="9"/>
        <v/>
      </c>
      <c r="H49" s="48" t="str">
        <f t="shared" si="9"/>
        <v/>
      </c>
      <c r="I49" s="20">
        <f t="shared" si="9"/>
        <v>3</v>
      </c>
      <c r="J49" s="20" t="str">
        <f t="shared" si="9"/>
        <v/>
      </c>
      <c r="K49" s="48" t="str">
        <f t="shared" si="9"/>
        <v/>
      </c>
      <c r="L49" s="20">
        <f t="shared" si="9"/>
        <v>0</v>
      </c>
      <c r="M49" s="20" t="str">
        <f t="shared" si="9"/>
        <v/>
      </c>
      <c r="N49" s="47">
        <f t="shared" si="2"/>
        <v>7</v>
      </c>
      <c r="O49" s="20"/>
      <c r="P49" s="20"/>
      <c r="Q49" s="93">
        <f t="shared" si="3"/>
        <v>0.31249999999999967</v>
      </c>
      <c r="R49" s="25">
        <f t="shared" si="4"/>
        <v>1</v>
      </c>
      <c r="S49" s="25">
        <f t="shared" si="5"/>
        <v>3</v>
      </c>
      <c r="T49" s="25">
        <f t="shared" si="6"/>
        <v>3</v>
      </c>
      <c r="U49" s="25">
        <f t="shared" si="7"/>
        <v>0</v>
      </c>
      <c r="V49" s="25">
        <f t="shared" si="8"/>
        <v>7</v>
      </c>
      <c r="W49" s="94">
        <f>W48+1</f>
        <v>6</v>
      </c>
    </row>
    <row r="50" spans="1:23">
      <c r="A50" s="43">
        <f t="shared" ref="A50:A59" si="10">IF(A35="","",A49+15/1440)</f>
        <v>0.32291666666666635</v>
      </c>
      <c r="B50" s="48" t="str">
        <f t="shared" si="9"/>
        <v/>
      </c>
      <c r="C50" s="20">
        <f t="shared" si="9"/>
        <v>0</v>
      </c>
      <c r="D50" s="20" t="str">
        <f t="shared" si="9"/>
        <v/>
      </c>
      <c r="E50" s="48" t="str">
        <f t="shared" si="9"/>
        <v/>
      </c>
      <c r="F50" s="20">
        <f t="shared" si="9"/>
        <v>0</v>
      </c>
      <c r="G50" s="20" t="str">
        <f t="shared" si="9"/>
        <v/>
      </c>
      <c r="H50" s="48" t="str">
        <f t="shared" si="9"/>
        <v/>
      </c>
      <c r="I50" s="20">
        <f t="shared" si="9"/>
        <v>3</v>
      </c>
      <c r="J50" s="20" t="str">
        <f t="shared" si="9"/>
        <v/>
      </c>
      <c r="K50" s="48" t="str">
        <f t="shared" si="9"/>
        <v/>
      </c>
      <c r="L50" s="20">
        <f t="shared" si="9"/>
        <v>0</v>
      </c>
      <c r="M50" s="20" t="str">
        <f t="shared" si="9"/>
        <v/>
      </c>
      <c r="N50" s="47">
        <f t="shared" si="2"/>
        <v>3</v>
      </c>
      <c r="O50" s="20"/>
      <c r="P50" s="20"/>
      <c r="Q50" s="93">
        <f t="shared" si="3"/>
        <v>0.32291666666666635</v>
      </c>
      <c r="R50" s="25">
        <f t="shared" si="4"/>
        <v>0</v>
      </c>
      <c r="S50" s="25">
        <f t="shared" si="5"/>
        <v>0</v>
      </c>
      <c r="T50" s="25">
        <f t="shared" si="6"/>
        <v>3</v>
      </c>
      <c r="U50" s="25">
        <f t="shared" si="7"/>
        <v>0</v>
      </c>
      <c r="V50" s="25">
        <f t="shared" si="8"/>
        <v>3</v>
      </c>
      <c r="W50" s="94">
        <f>W49+1</f>
        <v>7</v>
      </c>
    </row>
    <row r="51" spans="1:23">
      <c r="A51" s="43">
        <f t="shared" si="10"/>
        <v>0.33333333333333304</v>
      </c>
      <c r="B51" s="48" t="str">
        <f t="shared" si="9"/>
        <v/>
      </c>
      <c r="C51" s="20">
        <f t="shared" si="9"/>
        <v>0</v>
      </c>
      <c r="D51" s="20" t="str">
        <f t="shared" si="9"/>
        <v/>
      </c>
      <c r="E51" s="48" t="str">
        <f t="shared" si="9"/>
        <v/>
      </c>
      <c r="F51" s="20">
        <f t="shared" si="9"/>
        <v>1</v>
      </c>
      <c r="G51" s="20" t="str">
        <f t="shared" si="9"/>
        <v/>
      </c>
      <c r="H51" s="48" t="str">
        <f t="shared" si="9"/>
        <v/>
      </c>
      <c r="I51" s="20">
        <f t="shared" si="9"/>
        <v>4</v>
      </c>
      <c r="J51" s="20" t="str">
        <f t="shared" si="9"/>
        <v/>
      </c>
      <c r="K51" s="48" t="str">
        <f t="shared" si="9"/>
        <v/>
      </c>
      <c r="L51" s="20">
        <f t="shared" si="9"/>
        <v>1</v>
      </c>
      <c r="M51" s="20" t="str">
        <f t="shared" si="9"/>
        <v/>
      </c>
      <c r="N51" s="47">
        <f t="shared" si="2"/>
        <v>6</v>
      </c>
      <c r="O51" s="20"/>
      <c r="P51" s="20"/>
      <c r="Q51" s="93">
        <f t="shared" si="3"/>
        <v>0.33333333333333304</v>
      </c>
      <c r="R51" s="25">
        <f t="shared" si="4"/>
        <v>0</v>
      </c>
      <c r="S51" s="25">
        <f t="shared" si="5"/>
        <v>1</v>
      </c>
      <c r="T51" s="25">
        <f t="shared" si="6"/>
        <v>4</v>
      </c>
      <c r="U51" s="25">
        <f t="shared" si="7"/>
        <v>1</v>
      </c>
      <c r="V51" s="25">
        <f t="shared" si="8"/>
        <v>6</v>
      </c>
      <c r="W51" s="94">
        <f>W50+1</f>
        <v>8</v>
      </c>
    </row>
    <row r="52" spans="1:23">
      <c r="A52" s="43">
        <f t="shared" si="10"/>
        <v>0.34374999999999972</v>
      </c>
      <c r="B52" s="48" t="str">
        <f t="shared" si="9"/>
        <v/>
      </c>
      <c r="C52" s="20">
        <f t="shared" si="9"/>
        <v>0</v>
      </c>
      <c r="D52" s="20" t="str">
        <f t="shared" si="9"/>
        <v/>
      </c>
      <c r="E52" s="48" t="str">
        <f t="shared" si="9"/>
        <v/>
      </c>
      <c r="F52" s="20">
        <f t="shared" si="9"/>
        <v>2</v>
      </c>
      <c r="G52" s="20" t="str">
        <f t="shared" si="9"/>
        <v/>
      </c>
      <c r="H52" s="48" t="str">
        <f t="shared" si="9"/>
        <v/>
      </c>
      <c r="I52" s="20">
        <f t="shared" si="9"/>
        <v>2</v>
      </c>
      <c r="J52" s="20" t="str">
        <f t="shared" si="9"/>
        <v/>
      </c>
      <c r="K52" s="48" t="str">
        <f t="shared" si="9"/>
        <v/>
      </c>
      <c r="L52" s="20">
        <f t="shared" si="9"/>
        <v>2</v>
      </c>
      <c r="M52" s="20" t="str">
        <f t="shared" si="9"/>
        <v/>
      </c>
      <c r="N52" s="47">
        <f t="shared" si="2"/>
        <v>6</v>
      </c>
      <c r="O52" s="20"/>
      <c r="P52" s="20"/>
      <c r="Q52" s="93">
        <f t="shared" si="3"/>
        <v>0.34374999999999972</v>
      </c>
      <c r="R52" s="25">
        <f t="shared" si="4"/>
        <v>0</v>
      </c>
      <c r="S52" s="25">
        <f t="shared" si="5"/>
        <v>2</v>
      </c>
      <c r="T52" s="25">
        <f t="shared" si="6"/>
        <v>2</v>
      </c>
      <c r="U52" s="25">
        <f t="shared" si="7"/>
        <v>2</v>
      </c>
      <c r="V52" s="25">
        <f t="shared" si="8"/>
        <v>6</v>
      </c>
    </row>
    <row r="53" spans="1:23">
      <c r="A53" s="43">
        <f t="shared" si="10"/>
        <v>0.35416666666666641</v>
      </c>
      <c r="B53" s="48" t="str">
        <f t="shared" si="9"/>
        <v/>
      </c>
      <c r="C53" s="20">
        <f t="shared" si="9"/>
        <v>0</v>
      </c>
      <c r="D53" s="20" t="str">
        <f t="shared" si="9"/>
        <v/>
      </c>
      <c r="E53" s="48" t="str">
        <f t="shared" si="9"/>
        <v/>
      </c>
      <c r="F53" s="20">
        <f t="shared" si="9"/>
        <v>1</v>
      </c>
      <c r="G53" s="20" t="str">
        <f t="shared" si="9"/>
        <v/>
      </c>
      <c r="H53" s="48" t="str">
        <f t="shared" si="9"/>
        <v/>
      </c>
      <c r="I53" s="20">
        <f t="shared" si="9"/>
        <v>2</v>
      </c>
      <c r="J53" s="20" t="str">
        <f t="shared" si="9"/>
        <v/>
      </c>
      <c r="K53" s="48" t="str">
        <f t="shared" si="9"/>
        <v/>
      </c>
      <c r="L53" s="20">
        <f t="shared" si="9"/>
        <v>0</v>
      </c>
      <c r="M53" s="20" t="str">
        <f t="shared" si="9"/>
        <v/>
      </c>
      <c r="N53" s="47">
        <f t="shared" si="2"/>
        <v>3</v>
      </c>
      <c r="O53" s="20"/>
      <c r="P53" s="20"/>
      <c r="Q53" s="93">
        <f t="shared" si="3"/>
        <v>0.35416666666666641</v>
      </c>
      <c r="R53" s="25">
        <f t="shared" si="4"/>
        <v>0</v>
      </c>
      <c r="S53" s="25">
        <f t="shared" si="5"/>
        <v>1</v>
      </c>
      <c r="T53" s="25">
        <f t="shared" si="6"/>
        <v>2</v>
      </c>
      <c r="U53" s="25">
        <f t="shared" si="7"/>
        <v>0</v>
      </c>
      <c r="V53" s="25">
        <f t="shared" si="8"/>
        <v>3</v>
      </c>
    </row>
    <row r="54" spans="1:23">
      <c r="A54" s="43">
        <f t="shared" si="10"/>
        <v>0.36458333333333309</v>
      </c>
      <c r="B54" s="48" t="str">
        <f t="shared" si="9"/>
        <v/>
      </c>
      <c r="C54" s="20">
        <f t="shared" si="9"/>
        <v>2</v>
      </c>
      <c r="D54" s="20" t="str">
        <f t="shared" si="9"/>
        <v/>
      </c>
      <c r="E54" s="48" t="str">
        <f t="shared" si="9"/>
        <v/>
      </c>
      <c r="F54" s="20">
        <f t="shared" si="9"/>
        <v>3</v>
      </c>
      <c r="G54" s="20" t="str">
        <f t="shared" si="9"/>
        <v/>
      </c>
      <c r="H54" s="48" t="str">
        <f t="shared" si="9"/>
        <v/>
      </c>
      <c r="I54" s="20">
        <f t="shared" si="9"/>
        <v>5</v>
      </c>
      <c r="J54" s="20" t="str">
        <f t="shared" si="9"/>
        <v/>
      </c>
      <c r="K54" s="48" t="str">
        <f t="shared" si="9"/>
        <v/>
      </c>
      <c r="L54" s="20">
        <f t="shared" si="9"/>
        <v>2</v>
      </c>
      <c r="M54" s="20" t="str">
        <f t="shared" si="9"/>
        <v/>
      </c>
      <c r="N54" s="47">
        <f t="shared" si="2"/>
        <v>12</v>
      </c>
      <c r="O54" s="20"/>
      <c r="P54" s="20"/>
      <c r="Q54" s="93">
        <f t="shared" si="3"/>
        <v>0.36458333333333309</v>
      </c>
      <c r="R54" s="25">
        <f t="shared" si="4"/>
        <v>2</v>
      </c>
      <c r="S54" s="25">
        <f t="shared" si="5"/>
        <v>3</v>
      </c>
      <c r="T54" s="25">
        <f t="shared" si="6"/>
        <v>5</v>
      </c>
      <c r="U54" s="25">
        <f t="shared" si="7"/>
        <v>2</v>
      </c>
      <c r="V54" s="25">
        <f t="shared" si="8"/>
        <v>12</v>
      </c>
    </row>
    <row r="55" spans="1:23">
      <c r="A55" s="43">
        <f t="shared" si="10"/>
        <v>0.37499999999999978</v>
      </c>
      <c r="B55" s="48" t="str">
        <f t="shared" si="9"/>
        <v/>
      </c>
      <c r="C55" s="20">
        <f t="shared" si="9"/>
        <v>1</v>
      </c>
      <c r="D55" s="20" t="str">
        <f t="shared" si="9"/>
        <v/>
      </c>
      <c r="E55" s="48" t="str">
        <f t="shared" si="9"/>
        <v/>
      </c>
      <c r="F55" s="20">
        <f t="shared" si="9"/>
        <v>3</v>
      </c>
      <c r="G55" s="20" t="str">
        <f t="shared" si="9"/>
        <v/>
      </c>
      <c r="H55" s="48" t="str">
        <f t="shared" si="9"/>
        <v/>
      </c>
      <c r="I55" s="20">
        <f t="shared" si="9"/>
        <v>5</v>
      </c>
      <c r="J55" s="20" t="str">
        <f t="shared" si="9"/>
        <v/>
      </c>
      <c r="K55" s="48" t="str">
        <f t="shared" si="9"/>
        <v/>
      </c>
      <c r="L55" s="20">
        <f t="shared" si="9"/>
        <v>8</v>
      </c>
      <c r="M55" s="20" t="str">
        <f t="shared" si="9"/>
        <v/>
      </c>
      <c r="N55" s="47">
        <f t="shared" si="2"/>
        <v>17</v>
      </c>
      <c r="O55" s="20"/>
      <c r="P55" s="20"/>
      <c r="Q55" s="93">
        <f t="shared" si="3"/>
        <v>0.37499999999999978</v>
      </c>
      <c r="R55" s="25">
        <f t="shared" si="4"/>
        <v>1</v>
      </c>
      <c r="S55" s="25">
        <f t="shared" si="5"/>
        <v>3</v>
      </c>
      <c r="T55" s="25">
        <f t="shared" si="6"/>
        <v>5</v>
      </c>
      <c r="U55" s="25">
        <f t="shared" si="7"/>
        <v>8</v>
      </c>
      <c r="V55" s="25">
        <f t="shared" si="8"/>
        <v>17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0.37499999999999978</v>
      </c>
      <c r="R61" s="25">
        <f>MAX(INDEX(R48:V59,W48,1),INDEX(R48:V59,W49,1),INDEX(R48:V59,W50,1),INDEX(R48:V59,W51,1))</f>
        <v>2</v>
      </c>
      <c r="S61" s="25">
        <f>MAX(INDEX(R48:V59,W48,2),INDEX(R48:V59,W49,2),INDEX(R48:V59,W50,2),INDEX(R48:V59,W51,2))</f>
        <v>3</v>
      </c>
      <c r="T61" s="25">
        <f>MAX(INDEX(R48:V59,W48,3),INDEX(R48:V59,W49,3),INDEX(R48:V59,W50,3),INDEX(R48:V59,W51,3))</f>
        <v>5</v>
      </c>
      <c r="U61" s="25">
        <f>MAX(INDEX(R48:V59,W48,4),INDEX(R48:V59,W49,4),INDEX(R48:V59,W50,4),INDEX(R48:V59,W51,4))</f>
        <v>8</v>
      </c>
      <c r="V61" s="25">
        <f>MAX(INDEX(V48:V59,W48,1),INDEX(V48:V59,W49,1),INDEX(V48:V59,W50,1),INDEX(V48:V59,W51,1))</f>
        <v>17</v>
      </c>
      <c r="W61" s="19">
        <f>MATCH(V61,V48:V59,0)</f>
        <v>8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0.2916666666666663</v>
      </c>
      <c r="B63" s="48" t="s">
        <v>2</v>
      </c>
      <c r="C63" s="20">
        <f t="shared" ref="C63:M63" si="11">IF(C33="","",IF($A$63&lt;&gt;"",SUM(C48:C51),""))</f>
        <v>3</v>
      </c>
      <c r="D63" s="20" t="str">
        <f t="shared" si="11"/>
        <v/>
      </c>
      <c r="E63" s="48" t="str">
        <f t="shared" si="11"/>
        <v/>
      </c>
      <c r="F63" s="20">
        <f t="shared" si="11"/>
        <v>8</v>
      </c>
      <c r="G63" s="20" t="str">
        <f t="shared" si="11"/>
        <v/>
      </c>
      <c r="H63" s="48" t="str">
        <f t="shared" si="11"/>
        <v/>
      </c>
      <c r="I63" s="20">
        <f t="shared" si="11"/>
        <v>12</v>
      </c>
      <c r="J63" s="20" t="str">
        <f t="shared" si="11"/>
        <v/>
      </c>
      <c r="K63" s="48" t="str">
        <f t="shared" si="11"/>
        <v/>
      </c>
      <c r="L63" s="20">
        <f t="shared" si="11"/>
        <v>1</v>
      </c>
      <c r="M63" s="20" t="str">
        <f t="shared" si="11"/>
        <v/>
      </c>
      <c r="N63" s="47">
        <f t="shared" ref="N63:N71" si="12">IF(SUM(B63:M63)&lt;=0,"",SUM(B63:M63))</f>
        <v>24</v>
      </c>
      <c r="O63" s="20"/>
      <c r="P63" s="20"/>
      <c r="Q63" s="93">
        <f t="shared" ref="Q63:Q71" si="13">$A63</f>
        <v>0.2916666666666663</v>
      </c>
      <c r="R63" s="19">
        <f>MAX(N63:N71)</f>
        <v>38</v>
      </c>
    </row>
    <row r="64" spans="1:23" s="59" customFormat="1">
      <c r="A64" s="43">
        <f t="shared" ref="A64:A71" si="14">IF(A63="","",IF(A52="","",A63+15/1440))</f>
        <v>0.30208333333333298</v>
      </c>
      <c r="B64" s="48" t="str">
        <f>IF($A$64="","",IF(B52&lt;&gt;"",SUM(B49:B52),""))</f>
        <v/>
      </c>
      <c r="C64" s="20">
        <f>IF($A$64="","",IF(C52&lt;&gt;"",SUM(C49:C52),""))</f>
        <v>1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6</v>
      </c>
      <c r="G64" s="20" t="str">
        <f t="shared" si="15"/>
        <v/>
      </c>
      <c r="H64" s="48" t="str">
        <f t="shared" si="15"/>
        <v/>
      </c>
      <c r="I64" s="20">
        <f t="shared" si="15"/>
        <v>12</v>
      </c>
      <c r="J64" s="20" t="str">
        <f t="shared" si="15"/>
        <v/>
      </c>
      <c r="K64" s="48" t="str">
        <f t="shared" si="15"/>
        <v/>
      </c>
      <c r="L64" s="20">
        <f t="shared" si="15"/>
        <v>3</v>
      </c>
      <c r="M64" s="20" t="str">
        <f t="shared" si="15"/>
        <v/>
      </c>
      <c r="N64" s="47">
        <f t="shared" si="12"/>
        <v>22</v>
      </c>
      <c r="O64" s="20"/>
      <c r="P64" s="20"/>
      <c r="Q64" s="93">
        <f t="shared" si="13"/>
        <v>0.30208333333333298</v>
      </c>
      <c r="R64" s="19">
        <f>MATCH(R63,N63:N71,0)</f>
        <v>5</v>
      </c>
      <c r="S64" s="93">
        <f>INDEX(Q63:Q71,R64,1)</f>
        <v>0.33333333333333304</v>
      </c>
      <c r="T64" s="19"/>
    </row>
    <row r="65" spans="1:20">
      <c r="A65" s="43">
        <f t="shared" si="14"/>
        <v>0.31249999999999967</v>
      </c>
      <c r="B65" s="48" t="str">
        <f>IF($A$65="","",IF(B53&lt;&gt;"",SUM(B50:B53),""))</f>
        <v/>
      </c>
      <c r="C65" s="20">
        <f>IF($A$65="","",IF(C53&lt;&gt;"",SUM(C50:C53),""))</f>
        <v>0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4</v>
      </c>
      <c r="G65" s="20" t="str">
        <f t="shared" si="16"/>
        <v/>
      </c>
      <c r="H65" s="48" t="str">
        <f t="shared" si="16"/>
        <v/>
      </c>
      <c r="I65" s="20">
        <f t="shared" si="16"/>
        <v>11</v>
      </c>
      <c r="J65" s="20" t="str">
        <f t="shared" si="16"/>
        <v/>
      </c>
      <c r="K65" s="48" t="str">
        <f t="shared" si="16"/>
        <v/>
      </c>
      <c r="L65" s="20">
        <f t="shared" si="16"/>
        <v>3</v>
      </c>
      <c r="M65" s="20" t="str">
        <f t="shared" si="16"/>
        <v/>
      </c>
      <c r="N65" s="47">
        <f t="shared" si="12"/>
        <v>18</v>
      </c>
      <c r="O65" s="20"/>
      <c r="P65" s="20"/>
      <c r="Q65" s="93">
        <f t="shared" si="13"/>
        <v>0.31249999999999967</v>
      </c>
    </row>
    <row r="66" spans="1:20">
      <c r="A66" s="43">
        <f t="shared" si="14"/>
        <v>0.32291666666666635</v>
      </c>
      <c r="B66" s="48" t="str">
        <f>IF($A$64="","",IF(B54&lt;&gt;"",SUM(B51:B54),""))</f>
        <v/>
      </c>
      <c r="C66" s="20">
        <f>IF($A$64="","",IF(C54&lt;&gt;"",SUM(C51:C54),""))</f>
        <v>2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7</v>
      </c>
      <c r="G66" s="20" t="str">
        <f t="shared" si="17"/>
        <v/>
      </c>
      <c r="H66" s="48" t="str">
        <f t="shared" si="17"/>
        <v/>
      </c>
      <c r="I66" s="20">
        <f t="shared" si="17"/>
        <v>13</v>
      </c>
      <c r="J66" s="20" t="str">
        <f t="shared" si="17"/>
        <v/>
      </c>
      <c r="K66" s="48" t="str">
        <f t="shared" si="17"/>
        <v/>
      </c>
      <c r="L66" s="20">
        <f t="shared" si="17"/>
        <v>5</v>
      </c>
      <c r="M66" s="20" t="str">
        <f t="shared" si="17"/>
        <v/>
      </c>
      <c r="N66" s="47">
        <f>IF(SUM(B66:M66)&lt;=0,"",SUM(B66:M66))</f>
        <v>27</v>
      </c>
      <c r="O66" s="20"/>
      <c r="P66" s="20"/>
      <c r="Q66" s="93">
        <f t="shared" si="13"/>
        <v>0.32291666666666635</v>
      </c>
    </row>
    <row r="67" spans="1:20">
      <c r="A67" s="43">
        <f t="shared" si="14"/>
        <v>0.33333333333333304</v>
      </c>
      <c r="B67" s="48" t="str">
        <f>IF($A$65="","",IF(B55&lt;&gt;"",SUM(B52:B55),""))</f>
        <v/>
      </c>
      <c r="C67" s="20">
        <f>IF($A$65="","",IF(C55&lt;&gt;"",SUM(C52:C55),""))</f>
        <v>3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9</v>
      </c>
      <c r="G67" s="20" t="str">
        <f t="shared" si="18"/>
        <v/>
      </c>
      <c r="H67" s="48" t="str">
        <f t="shared" si="18"/>
        <v/>
      </c>
      <c r="I67" s="20">
        <f t="shared" si="18"/>
        <v>14</v>
      </c>
      <c r="J67" s="20" t="str">
        <f t="shared" si="18"/>
        <v/>
      </c>
      <c r="K67" s="48" t="str">
        <f t="shared" si="18"/>
        <v/>
      </c>
      <c r="L67" s="20">
        <f t="shared" si="18"/>
        <v>12</v>
      </c>
      <c r="M67" s="20" t="str">
        <f t="shared" si="18"/>
        <v/>
      </c>
      <c r="N67" s="47">
        <f>IF(SUM(B67:M67)&lt;=0,"",SUM(B67:M67))</f>
        <v>38</v>
      </c>
      <c r="O67" s="20"/>
      <c r="P67" s="20"/>
      <c r="Q67" s="93">
        <f t="shared" si="13"/>
        <v>0.33333333333333304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/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9</v>
      </c>
      <c r="I76" s="25">
        <f>IF(D33="",0,INDEX($B$63:$M$71,$R$64,3))+IF(E33="",0,INDEX($B$63:$M$71,$R$64,4))+IF(L33="",0,INDEX($B$63:$M$71,$R$64,11))</f>
        <v>12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3</v>
      </c>
      <c r="F77" s="25">
        <f>IF(E33="",0,INDEX($B$63:$M$71,$R$64,4))+IF(F33="",0,INDEX($B$63:$M$71,$R$64,5))+IF(G33="",0,INDEX($B$63:$M$71,$R$64,6))</f>
        <v>9</v>
      </c>
      <c r="I77" s="25">
        <f>IF(H33="",0,INDEX($B$63:$M$71,$R$64,7))+IF(I33="",0,INDEX($B$63:$M$71,$R$64,8))+IF(J33="",0,INDEX($B$63:$M$71,$R$64,9))</f>
        <v>14</v>
      </c>
      <c r="L77" s="25">
        <f>IF(K33="",0,INDEX($B$63:$M$71,$R$64,10))+IF(L33="",0,INDEX($B$63:$M$71,$R$64,11))+IF(M33="",0,INDEX($B$63:$M$71,$R$64,12))</f>
        <v>12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3</v>
      </c>
      <c r="L78" s="25">
        <f>IF(B33="",0,INDEX($B$63:$M$71,$R$64,1))+IF(G33="",0,INDEX($B$63:$M$71,$R$64,6))+IF(I33="",0,INDEX($B$63:$M$71,$R$64,8))</f>
        <v>14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vehicles</vt:lpstr>
      <vt:lpstr>peds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 </cp:lastModifiedBy>
  <cp:lastPrinted>2010-11-30T00:49:43Z</cp:lastPrinted>
  <dcterms:created xsi:type="dcterms:W3CDTF">2010-11-30T00:43:13Z</dcterms:created>
  <dcterms:modified xsi:type="dcterms:W3CDTF">2010-12-14T19:04:00Z</dcterms:modified>
</cp:coreProperties>
</file>