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480" yWindow="75" windowWidth="15480" windowHeight="9720"/>
  </bookViews>
  <sheets>
    <sheet name="vehicles" sheetId="1" r:id="rId1"/>
    <sheet name="peds" sheetId="2" r:id="rId2"/>
  </sheets>
  <calcPr calcId="124519"/>
</workbook>
</file>

<file path=xl/calcChain.xml><?xml version="1.0" encoding="utf-8"?>
<calcChain xmlns="http://schemas.openxmlformats.org/spreadsheetml/2006/main">
  <c r="M63" i="2"/>
  <c r="K63"/>
  <c r="H63"/>
  <c r="G63"/>
  <c r="E63"/>
  <c r="D63"/>
  <c r="B63"/>
  <c r="A63"/>
  <c r="M59"/>
  <c r="L59"/>
  <c r="K59"/>
  <c r="U59" s="1"/>
  <c r="J59"/>
  <c r="I59"/>
  <c r="H59"/>
  <c r="T59" s="1"/>
  <c r="G59"/>
  <c r="F59"/>
  <c r="E59"/>
  <c r="S59" s="1"/>
  <c r="D59"/>
  <c r="C59"/>
  <c r="B59"/>
  <c r="R59" s="1"/>
  <c r="V59" s="1"/>
  <c r="A59"/>
  <c r="Q59" s="1"/>
  <c r="M58"/>
  <c r="M70" s="1"/>
  <c r="L58"/>
  <c r="L70" s="1"/>
  <c r="K58"/>
  <c r="U58" s="1"/>
  <c r="J58"/>
  <c r="J70" s="1"/>
  <c r="I58"/>
  <c r="I70" s="1"/>
  <c r="H58"/>
  <c r="H70" s="1"/>
  <c r="G58"/>
  <c r="G70" s="1"/>
  <c r="F58"/>
  <c r="F70" s="1"/>
  <c r="E58"/>
  <c r="S58" s="1"/>
  <c r="D58"/>
  <c r="D70" s="1"/>
  <c r="C58"/>
  <c r="C70" s="1"/>
  <c r="B58"/>
  <c r="B70" s="1"/>
  <c r="A58"/>
  <c r="Q58" s="1"/>
  <c r="M57"/>
  <c r="L57"/>
  <c r="K57"/>
  <c r="U57" s="1"/>
  <c r="J57"/>
  <c r="I57"/>
  <c r="H57"/>
  <c r="T57" s="1"/>
  <c r="G57"/>
  <c r="F57"/>
  <c r="E57"/>
  <c r="S57" s="1"/>
  <c r="D57"/>
  <c r="C57"/>
  <c r="B57"/>
  <c r="R57" s="1"/>
  <c r="V57" s="1"/>
  <c r="A57"/>
  <c r="Q57" s="1"/>
  <c r="M56"/>
  <c r="M68" s="1"/>
  <c r="L56"/>
  <c r="L68" s="1"/>
  <c r="K56"/>
  <c r="J56"/>
  <c r="J68" s="1"/>
  <c r="I56"/>
  <c r="I68" s="1"/>
  <c r="H56"/>
  <c r="H68" s="1"/>
  <c r="G56"/>
  <c r="G68" s="1"/>
  <c r="F56"/>
  <c r="F68" s="1"/>
  <c r="E56"/>
  <c r="D56"/>
  <c r="D68" s="1"/>
  <c r="B56"/>
  <c r="B68" s="1"/>
  <c r="A56"/>
  <c r="Q56" s="1"/>
  <c r="M55"/>
  <c r="L55"/>
  <c r="K55"/>
  <c r="J55"/>
  <c r="I55"/>
  <c r="H55"/>
  <c r="G55"/>
  <c r="F55"/>
  <c r="E55"/>
  <c r="D55"/>
  <c r="C55"/>
  <c r="B55"/>
  <c r="M54"/>
  <c r="L54"/>
  <c r="K54"/>
  <c r="J54"/>
  <c r="I54"/>
  <c r="H54"/>
  <c r="G54"/>
  <c r="F54"/>
  <c r="E54"/>
  <c r="D54"/>
  <c r="C54"/>
  <c r="B54"/>
  <c r="M53"/>
  <c r="L53"/>
  <c r="K53"/>
  <c r="J53"/>
  <c r="I53"/>
  <c r="H53"/>
  <c r="G53"/>
  <c r="F53"/>
  <c r="E53"/>
  <c r="D53"/>
  <c r="C53"/>
  <c r="B53"/>
  <c r="M52"/>
  <c r="L52"/>
  <c r="K52"/>
  <c r="J52"/>
  <c r="I52"/>
  <c r="H52"/>
  <c r="G52"/>
  <c r="F52"/>
  <c r="E52"/>
  <c r="D52"/>
  <c r="C52"/>
  <c r="B52"/>
  <c r="M51"/>
  <c r="L51"/>
  <c r="K51"/>
  <c r="J51"/>
  <c r="I51"/>
  <c r="H51"/>
  <c r="G51"/>
  <c r="F51"/>
  <c r="E51"/>
  <c r="D51"/>
  <c r="C51"/>
  <c r="B51"/>
  <c r="M50"/>
  <c r="L50"/>
  <c r="K50"/>
  <c r="J50"/>
  <c r="I50"/>
  <c r="H50"/>
  <c r="G50"/>
  <c r="F50"/>
  <c r="E50"/>
  <c r="D50"/>
  <c r="C50"/>
  <c r="B50"/>
  <c r="M49"/>
  <c r="L49"/>
  <c r="K49"/>
  <c r="J49"/>
  <c r="I49"/>
  <c r="H49"/>
  <c r="G49"/>
  <c r="F49"/>
  <c r="E49"/>
  <c r="S49" s="1"/>
  <c r="D49"/>
  <c r="C49"/>
  <c r="B49"/>
  <c r="M48"/>
  <c r="L48"/>
  <c r="L63" s="1"/>
  <c r="K48"/>
  <c r="J48"/>
  <c r="J63" s="1"/>
  <c r="I48"/>
  <c r="I63" s="1"/>
  <c r="H48"/>
  <c r="G48"/>
  <c r="F48"/>
  <c r="E48"/>
  <c r="S48" s="1"/>
  <c r="D48"/>
  <c r="C48"/>
  <c r="C63" s="1"/>
  <c r="B48"/>
  <c r="A48"/>
  <c r="Q48" s="1"/>
  <c r="Q47" s="1"/>
  <c r="N40"/>
  <c r="N39"/>
  <c r="N38"/>
  <c r="N37"/>
  <c r="N36"/>
  <c r="N35"/>
  <c r="N34"/>
  <c r="N33"/>
  <c r="D25"/>
  <c r="F22"/>
  <c r="B12"/>
  <c r="D9"/>
  <c r="F63" l="1"/>
  <c r="S56"/>
  <c r="S55"/>
  <c r="S54"/>
  <c r="S53"/>
  <c r="S52"/>
  <c r="S50"/>
  <c r="S51"/>
  <c r="R55"/>
  <c r="R54"/>
  <c r="R53"/>
  <c r="R52"/>
  <c r="R51"/>
  <c r="R50"/>
  <c r="R48"/>
  <c r="R49"/>
  <c r="U48"/>
  <c r="U49"/>
  <c r="U50"/>
  <c r="U51"/>
  <c r="U52"/>
  <c r="U53"/>
  <c r="U54"/>
  <c r="U55"/>
  <c r="U56"/>
  <c r="T55"/>
  <c r="T53"/>
  <c r="T52"/>
  <c r="T51"/>
  <c r="T50"/>
  <c r="T48"/>
  <c r="T49"/>
  <c r="V49" s="1"/>
  <c r="N63"/>
  <c r="N48"/>
  <c r="A49"/>
  <c r="N50"/>
  <c r="N52"/>
  <c r="N53"/>
  <c r="T54"/>
  <c r="N54"/>
  <c r="N49"/>
  <c r="N51"/>
  <c r="N56"/>
  <c r="R56"/>
  <c r="T56"/>
  <c r="N57"/>
  <c r="N58"/>
  <c r="R58"/>
  <c r="V58" s="1"/>
  <c r="T58"/>
  <c r="N59"/>
  <c r="Q63"/>
  <c r="E68"/>
  <c r="N68" s="1"/>
  <c r="K68"/>
  <c r="E70"/>
  <c r="N70" s="1"/>
  <c r="K70"/>
  <c r="N55"/>
  <c r="A63" i="1"/>
  <c r="M59"/>
  <c r="L59"/>
  <c r="K59"/>
  <c r="U59" s="1"/>
  <c r="J59"/>
  <c r="I59"/>
  <c r="H59"/>
  <c r="T59" s="1"/>
  <c r="G59"/>
  <c r="F59"/>
  <c r="E59"/>
  <c r="S59" s="1"/>
  <c r="D59"/>
  <c r="C59"/>
  <c r="B59"/>
  <c r="R59" s="1"/>
  <c r="A59"/>
  <c r="Q59" s="1"/>
  <c r="M58"/>
  <c r="M70" s="1"/>
  <c r="L58"/>
  <c r="L70" s="1"/>
  <c r="K58"/>
  <c r="U58" s="1"/>
  <c r="J58"/>
  <c r="J70" s="1"/>
  <c r="I58"/>
  <c r="I70" s="1"/>
  <c r="H58"/>
  <c r="H70" s="1"/>
  <c r="G58"/>
  <c r="G70" s="1"/>
  <c r="F58"/>
  <c r="F70" s="1"/>
  <c r="E58"/>
  <c r="S58" s="1"/>
  <c r="D58"/>
  <c r="D70" s="1"/>
  <c r="C58"/>
  <c r="C70" s="1"/>
  <c r="B58"/>
  <c r="B70" s="1"/>
  <c r="A58"/>
  <c r="Q58" s="1"/>
  <c r="M57"/>
  <c r="L57"/>
  <c r="K57"/>
  <c r="U57" s="1"/>
  <c r="J57"/>
  <c r="I57"/>
  <c r="H57"/>
  <c r="T57" s="1"/>
  <c r="G57"/>
  <c r="F57"/>
  <c r="E57"/>
  <c r="S57" s="1"/>
  <c r="D57"/>
  <c r="C57"/>
  <c r="B57"/>
  <c r="R57" s="1"/>
  <c r="A57"/>
  <c r="Q57" s="1"/>
  <c r="M56"/>
  <c r="M68" s="1"/>
  <c r="L56"/>
  <c r="L68" s="1"/>
  <c r="K56"/>
  <c r="J56"/>
  <c r="J68" s="1"/>
  <c r="I56"/>
  <c r="I68" s="1"/>
  <c r="H56"/>
  <c r="H68" s="1"/>
  <c r="G56"/>
  <c r="G68" s="1"/>
  <c r="F56"/>
  <c r="E56"/>
  <c r="D56"/>
  <c r="D68" s="1"/>
  <c r="B56"/>
  <c r="B68" s="1"/>
  <c r="A56"/>
  <c r="Q56" s="1"/>
  <c r="M55"/>
  <c r="L55"/>
  <c r="K55"/>
  <c r="J55"/>
  <c r="I55"/>
  <c r="H55"/>
  <c r="G55"/>
  <c r="F55"/>
  <c r="E55"/>
  <c r="D55"/>
  <c r="C55"/>
  <c r="B55"/>
  <c r="M54"/>
  <c r="L54"/>
  <c r="K54"/>
  <c r="J54"/>
  <c r="I54"/>
  <c r="H54"/>
  <c r="G54"/>
  <c r="F54"/>
  <c r="E54"/>
  <c r="D54"/>
  <c r="C54"/>
  <c r="B54"/>
  <c r="M53"/>
  <c r="L53"/>
  <c r="K53"/>
  <c r="J53"/>
  <c r="I53"/>
  <c r="H53"/>
  <c r="G53"/>
  <c r="F53"/>
  <c r="E53"/>
  <c r="D53"/>
  <c r="C53"/>
  <c r="B53"/>
  <c r="M52"/>
  <c r="L52"/>
  <c r="K52"/>
  <c r="J52"/>
  <c r="I52"/>
  <c r="H52"/>
  <c r="G52"/>
  <c r="F52"/>
  <c r="E52"/>
  <c r="D52"/>
  <c r="C52"/>
  <c r="B52"/>
  <c r="M51"/>
  <c r="L51"/>
  <c r="K51"/>
  <c r="J51"/>
  <c r="I51"/>
  <c r="H51"/>
  <c r="G51"/>
  <c r="F51"/>
  <c r="E51"/>
  <c r="D51"/>
  <c r="C51"/>
  <c r="B51"/>
  <c r="M50"/>
  <c r="L50"/>
  <c r="K50"/>
  <c r="J50"/>
  <c r="I50"/>
  <c r="H50"/>
  <c r="G50"/>
  <c r="F50"/>
  <c r="E50"/>
  <c r="D50"/>
  <c r="C50"/>
  <c r="B50"/>
  <c r="M49"/>
  <c r="L49"/>
  <c r="K49"/>
  <c r="J49"/>
  <c r="I49"/>
  <c r="H49"/>
  <c r="G49"/>
  <c r="F49"/>
  <c r="E49"/>
  <c r="D49"/>
  <c r="C49"/>
  <c r="B49"/>
  <c r="M48"/>
  <c r="L48"/>
  <c r="K48"/>
  <c r="J48"/>
  <c r="J63" s="1"/>
  <c r="I48"/>
  <c r="H48"/>
  <c r="H63" s="1"/>
  <c r="G48"/>
  <c r="G63" s="1"/>
  <c r="F48"/>
  <c r="E48"/>
  <c r="D48"/>
  <c r="C48"/>
  <c r="B48"/>
  <c r="B63" s="1"/>
  <c r="A48"/>
  <c r="Q48" s="1"/>
  <c r="Q47" s="1"/>
  <c r="N40"/>
  <c r="N39"/>
  <c r="N38"/>
  <c r="N37"/>
  <c r="N36"/>
  <c r="N35"/>
  <c r="N34"/>
  <c r="N33"/>
  <c r="D25"/>
  <c r="F22"/>
  <c r="B12"/>
  <c r="D9"/>
  <c r="F68" l="1"/>
  <c r="V53" i="2"/>
  <c r="V51"/>
  <c r="V55"/>
  <c r="V54"/>
  <c r="V52"/>
  <c r="V48"/>
  <c r="V50"/>
  <c r="V56"/>
  <c r="A50"/>
  <c r="Q49"/>
  <c r="U55" i="1"/>
  <c r="U54"/>
  <c r="U53"/>
  <c r="T48"/>
  <c r="A49"/>
  <c r="A50" s="1"/>
  <c r="Q50" s="1"/>
  <c r="S54"/>
  <c r="S55"/>
  <c r="S53"/>
  <c r="S52"/>
  <c r="S51"/>
  <c r="S50"/>
  <c r="S49"/>
  <c r="E63"/>
  <c r="D63"/>
  <c r="R48"/>
  <c r="M63"/>
  <c r="U52"/>
  <c r="U51"/>
  <c r="U50"/>
  <c r="U49"/>
  <c r="K63"/>
  <c r="S48"/>
  <c r="U48"/>
  <c r="R49"/>
  <c r="T49"/>
  <c r="R50"/>
  <c r="T50"/>
  <c r="R51"/>
  <c r="T51"/>
  <c r="R52"/>
  <c r="T52"/>
  <c r="R53"/>
  <c r="T53"/>
  <c r="R54"/>
  <c r="T54"/>
  <c r="R55"/>
  <c r="T55"/>
  <c r="N48"/>
  <c r="N50"/>
  <c r="N52"/>
  <c r="N53"/>
  <c r="N54"/>
  <c r="N55"/>
  <c r="N56"/>
  <c r="T56"/>
  <c r="N49"/>
  <c r="N51"/>
  <c r="S56"/>
  <c r="E68"/>
  <c r="U56"/>
  <c r="K68"/>
  <c r="R56"/>
  <c r="V57"/>
  <c r="V59"/>
  <c r="L63"/>
  <c r="N57"/>
  <c r="N58"/>
  <c r="R58"/>
  <c r="V58" s="1"/>
  <c r="T58"/>
  <c r="N59"/>
  <c r="C63"/>
  <c r="I63"/>
  <c r="Q63"/>
  <c r="E70"/>
  <c r="K70"/>
  <c r="F63"/>
  <c r="Q50" i="2" l="1"/>
  <c r="A51"/>
  <c r="V56" i="1"/>
  <c r="V49"/>
  <c r="V55"/>
  <c r="V51"/>
  <c r="V53"/>
  <c r="V54"/>
  <c r="Q49"/>
  <c r="A51"/>
  <c r="V48"/>
  <c r="V52"/>
  <c r="V50"/>
  <c r="N70"/>
  <c r="N63"/>
  <c r="N68"/>
  <c r="A52"/>
  <c r="Q51"/>
  <c r="A52" i="2" l="1"/>
  <c r="Q51"/>
  <c r="A53" i="1"/>
  <c r="Q52"/>
  <c r="A64"/>
  <c r="A53" i="2" l="1"/>
  <c r="Q52"/>
  <c r="A64"/>
  <c r="L66" i="1"/>
  <c r="J66"/>
  <c r="H66"/>
  <c r="F66"/>
  <c r="D66"/>
  <c r="B66"/>
  <c r="A65"/>
  <c r="L64"/>
  <c r="J64"/>
  <c r="H64"/>
  <c r="F64"/>
  <c r="D64"/>
  <c r="B64"/>
  <c r="M66"/>
  <c r="K66"/>
  <c r="I66"/>
  <c r="G66"/>
  <c r="E66"/>
  <c r="C66"/>
  <c r="Q64"/>
  <c r="M64"/>
  <c r="K64"/>
  <c r="I64"/>
  <c r="G64"/>
  <c r="E64"/>
  <c r="C64"/>
  <c r="A54"/>
  <c r="Q53"/>
  <c r="L66" i="2" l="1"/>
  <c r="J66"/>
  <c r="H66"/>
  <c r="F66"/>
  <c r="D66"/>
  <c r="B66"/>
  <c r="A65"/>
  <c r="L64"/>
  <c r="J64"/>
  <c r="H64"/>
  <c r="F64"/>
  <c r="D64"/>
  <c r="B64"/>
  <c r="M66"/>
  <c r="K66"/>
  <c r="I66"/>
  <c r="G66"/>
  <c r="E66"/>
  <c r="C66"/>
  <c r="Q64"/>
  <c r="M64"/>
  <c r="K64"/>
  <c r="I64"/>
  <c r="G64"/>
  <c r="E64"/>
  <c r="C64"/>
  <c r="A54"/>
  <c r="Q53"/>
  <c r="A55" i="1"/>
  <c r="Q55" s="1"/>
  <c r="Q54"/>
  <c r="M67"/>
  <c r="K67"/>
  <c r="I67"/>
  <c r="G67"/>
  <c r="E67"/>
  <c r="C67"/>
  <c r="Q65"/>
  <c r="M65"/>
  <c r="K65"/>
  <c r="I65"/>
  <c r="G65"/>
  <c r="E65"/>
  <c r="C65"/>
  <c r="L67"/>
  <c r="J67"/>
  <c r="H67"/>
  <c r="F67"/>
  <c r="D67"/>
  <c r="B67"/>
  <c r="A66"/>
  <c r="L65"/>
  <c r="J65"/>
  <c r="H65"/>
  <c r="F65"/>
  <c r="D65"/>
  <c r="B65"/>
  <c r="N66"/>
  <c r="N64"/>
  <c r="M67" i="2" l="1"/>
  <c r="K67"/>
  <c r="I67"/>
  <c r="G67"/>
  <c r="E67"/>
  <c r="C67"/>
  <c r="Q65"/>
  <c r="M65"/>
  <c r="K65"/>
  <c r="I65"/>
  <c r="G65"/>
  <c r="E65"/>
  <c r="C65"/>
  <c r="L67"/>
  <c r="J67"/>
  <c r="H67"/>
  <c r="F67"/>
  <c r="D67"/>
  <c r="B67"/>
  <c r="A66"/>
  <c r="L65"/>
  <c r="J65"/>
  <c r="H65"/>
  <c r="F65"/>
  <c r="D65"/>
  <c r="B65"/>
  <c r="N66"/>
  <c r="A55"/>
  <c r="Q55" s="1"/>
  <c r="Q54"/>
  <c r="N64"/>
  <c r="N67" i="1"/>
  <c r="N65"/>
  <c r="A67"/>
  <c r="Q66"/>
  <c r="N67" i="2" l="1"/>
  <c r="N65"/>
  <c r="A67"/>
  <c r="Q66"/>
  <c r="Q67" i="1"/>
  <c r="A68"/>
  <c r="Q67" i="2" l="1"/>
  <c r="A68"/>
  <c r="A69" i="1"/>
  <c r="Q68"/>
  <c r="A69" i="2" l="1"/>
  <c r="Q68"/>
  <c r="Q69" i="1"/>
  <c r="A70"/>
  <c r="Q69" i="2" l="1"/>
  <c r="A70"/>
  <c r="A71" i="1"/>
  <c r="Q70"/>
  <c r="A71" i="2" l="1"/>
  <c r="Q70"/>
  <c r="Q71" i="1"/>
  <c r="M71"/>
  <c r="K71"/>
  <c r="I71"/>
  <c r="G71"/>
  <c r="E71"/>
  <c r="C71"/>
  <c r="M69"/>
  <c r="K69"/>
  <c r="I69"/>
  <c r="G69"/>
  <c r="E69"/>
  <c r="C69"/>
  <c r="L71"/>
  <c r="J71"/>
  <c r="H71"/>
  <c r="F71"/>
  <c r="D71"/>
  <c r="B71"/>
  <c r="L69"/>
  <c r="J69"/>
  <c r="H69"/>
  <c r="F69"/>
  <c r="D69"/>
  <c r="B69"/>
  <c r="Q71" i="2" l="1"/>
  <c r="M71"/>
  <c r="K71"/>
  <c r="I71"/>
  <c r="G71"/>
  <c r="E71"/>
  <c r="C71"/>
  <c r="M69"/>
  <c r="K69"/>
  <c r="I69"/>
  <c r="G69"/>
  <c r="E69"/>
  <c r="C69"/>
  <c r="L71"/>
  <c r="J71"/>
  <c r="H71"/>
  <c r="F71"/>
  <c r="D71"/>
  <c r="B71"/>
  <c r="L69"/>
  <c r="J69"/>
  <c r="H69"/>
  <c r="F69"/>
  <c r="D69"/>
  <c r="B69"/>
  <c r="N69" i="1"/>
  <c r="N71"/>
  <c r="N71" i="2" l="1"/>
  <c r="N69"/>
  <c r="R63" i="1"/>
  <c r="R64" s="1"/>
  <c r="R63" i="2" l="1"/>
  <c r="R64" s="1"/>
  <c r="D18" i="1"/>
  <c r="L78"/>
  <c r="K11" s="1"/>
  <c r="L77"/>
  <c r="F77"/>
  <c r="I76"/>
  <c r="J23" s="1"/>
  <c r="F78"/>
  <c r="M19" s="1"/>
  <c r="I77"/>
  <c r="C77"/>
  <c r="C76"/>
  <c r="H15" s="1"/>
  <c r="S64"/>
  <c r="D23"/>
  <c r="F19"/>
  <c r="B17"/>
  <c r="B15"/>
  <c r="D11"/>
  <c r="E23"/>
  <c r="F17"/>
  <c r="F15"/>
  <c r="C11"/>
  <c r="C23"/>
  <c r="B19"/>
  <c r="E11"/>
  <c r="F77" i="2" l="1"/>
  <c r="M15" s="1"/>
  <c r="C76"/>
  <c r="H15" s="1"/>
  <c r="S64"/>
  <c r="C77"/>
  <c r="H19" s="1"/>
  <c r="F15"/>
  <c r="E23"/>
  <c r="F19"/>
  <c r="C11"/>
  <c r="B19"/>
  <c r="B15"/>
  <c r="F78"/>
  <c r="M19" s="1"/>
  <c r="L77"/>
  <c r="J11" s="1"/>
  <c r="I76"/>
  <c r="J23" s="1"/>
  <c r="E11"/>
  <c r="F17"/>
  <c r="C23"/>
  <c r="D11"/>
  <c r="B17"/>
  <c r="D23"/>
  <c r="I77"/>
  <c r="K23" s="1"/>
  <c r="D18"/>
  <c r="L78"/>
  <c r="K11" s="1"/>
  <c r="W48"/>
  <c r="C7"/>
  <c r="F7" s="1"/>
  <c r="K23" i="1"/>
  <c r="J11"/>
  <c r="W48"/>
  <c r="C7"/>
  <c r="F7" s="1"/>
  <c r="H19"/>
  <c r="M15"/>
  <c r="W49" i="2" l="1"/>
  <c r="W50" s="1"/>
  <c r="W51" s="1"/>
  <c r="W49" i="1"/>
  <c r="W50" s="1"/>
  <c r="W51" s="1"/>
  <c r="R61" i="2" l="1"/>
  <c r="I12" s="1"/>
  <c r="U61"/>
  <c r="K9" s="1"/>
  <c r="V61"/>
  <c r="W61" s="1"/>
  <c r="Q61" s="1"/>
  <c r="F8" s="1"/>
  <c r="C8" s="1"/>
  <c r="T61"/>
  <c r="K25" s="1"/>
  <c r="S61"/>
  <c r="M22" s="1"/>
  <c r="U61" i="1"/>
  <c r="K9" s="1"/>
  <c r="R61"/>
  <c r="I12" s="1"/>
  <c r="V61"/>
  <c r="W61" s="1"/>
  <c r="Q61" s="1"/>
  <c r="F8" s="1"/>
  <c r="C8" s="1"/>
  <c r="T61"/>
  <c r="K25" s="1"/>
  <c r="S61"/>
  <c r="M22" s="1"/>
  <c r="C28" i="2" l="1"/>
  <c r="C28" i="1"/>
</calcChain>
</file>

<file path=xl/sharedStrings.xml><?xml version="1.0" encoding="utf-8"?>
<sst xmlns="http://schemas.openxmlformats.org/spreadsheetml/2006/main" count="210" uniqueCount="55">
  <si>
    <t>Sierra Traffic Data Service</t>
  </si>
  <si>
    <t>INTERSECTION TURNING MOVEMENT SUMMARY</t>
  </si>
  <si>
    <t>INTERSECTION:</t>
  </si>
  <si>
    <t>TIME:</t>
  </si>
  <si>
    <t>to</t>
  </si>
  <si>
    <t>JURISDICTION:</t>
  </si>
  <si>
    <t>DATE:</t>
  </si>
  <si>
    <t>PROJECT  TITLE:</t>
  </si>
  <si>
    <t>PROJECT NO:</t>
  </si>
  <si>
    <t>PEAK HOUR PERIOD:</t>
  </si>
  <si>
    <t>PEAK 15 MINUTE PERIOD:</t>
  </si>
  <si>
    <t>PHF =</t>
  </si>
  <si>
    <t>TOTAL</t>
  </si>
  <si>
    <t>N</t>
  </si>
  <si>
    <t>INTERSECTION</t>
  </si>
  <si>
    <t>.</t>
  </si>
  <si>
    <t>PEAK HOUR FACTOR:</t>
  </si>
  <si>
    <t xml:space="preserve"> </t>
  </si>
  <si>
    <t>Eastbound</t>
  </si>
  <si>
    <t>Westbound</t>
  </si>
  <si>
    <t>Northbound</t>
  </si>
  <si>
    <t>Southbound</t>
  </si>
  <si>
    <t>RUNNING COUNTS</t>
  </si>
  <si>
    <t>Left</t>
  </si>
  <si>
    <t>Thru</t>
  </si>
  <si>
    <t>Right</t>
  </si>
  <si>
    <t>Period End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</si>
  <si>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</si>
  <si>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</si>
  <si>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</si>
  <si>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</si>
  <si>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</si>
  <si>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</si>
  <si>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</si>
  <si>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</si>
  <si>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</si>
  <si>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</si>
  <si>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</si>
  <si>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</si>
  <si>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PERIOD COUNTS</t>
  </si>
  <si>
    <t>sum 15 min pk</t>
  </si>
  <si>
    <t>EB</t>
  </si>
  <si>
    <t>WB</t>
  </si>
  <si>
    <t>NB</t>
  </si>
  <si>
    <t>SB</t>
  </si>
  <si>
    <t>Total</t>
  </si>
  <si>
    <t>HOURLY TOTALS</t>
  </si>
  <si>
    <t>Beginning At</t>
  </si>
  <si>
    <t>Hr Peak</t>
  </si>
  <si>
    <t>Depart</t>
  </si>
  <si>
    <t>Arrival</t>
  </si>
  <si>
    <t>S. McCarran &amp; Longley</t>
  </si>
  <si>
    <t>Tue 1/11/2011</t>
  </si>
  <si>
    <t>S. McCarran</t>
  </si>
  <si>
    <t>Longley</t>
  </si>
</sst>
</file>

<file path=xl/styles.xml><?xml version="1.0" encoding="utf-8"?>
<styleSheet xmlns="http://schemas.openxmlformats.org/spreadsheetml/2006/main">
  <numFmts count="1">
    <numFmt numFmtId="164" formatCode="m\-d\-yy\,\ ddd"/>
  </numFmts>
  <fonts count="13">
    <font>
      <sz val="11"/>
      <color theme="1"/>
      <name val="Calibri"/>
      <family val="2"/>
      <scheme val="minor"/>
    </font>
    <font>
      <b/>
      <i/>
      <sz val="16"/>
      <name val="Geneva"/>
    </font>
    <font>
      <sz val="12"/>
      <name val="Tms Rmn"/>
    </font>
    <font>
      <b/>
      <i/>
      <sz val="16"/>
      <name val="Tms Rmn"/>
    </font>
    <font>
      <b/>
      <sz val="18"/>
      <name val="Tms Rmn"/>
    </font>
    <font>
      <b/>
      <sz val="12"/>
      <name val="Tms Rmn"/>
    </font>
    <font>
      <b/>
      <sz val="10"/>
      <name val="Tms Rmn"/>
    </font>
    <font>
      <sz val="10"/>
      <name val="Tms Rmn"/>
    </font>
    <font>
      <b/>
      <sz val="18"/>
      <color indexed="11"/>
      <name val="Tms Rmn"/>
    </font>
    <font>
      <b/>
      <sz val="12"/>
      <name val="Geneva"/>
    </font>
    <font>
      <b/>
      <u/>
      <sz val="12"/>
      <name val="Tms Rmn"/>
    </font>
    <font>
      <b/>
      <u/>
      <sz val="10"/>
      <name val="Tms Rmn"/>
    </font>
    <font>
      <b/>
      <sz val="14"/>
      <name val="Tms Rmn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15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</borders>
  <cellStyleXfs count="2">
    <xf numFmtId="0" fontId="0" fillId="0" borderId="0"/>
    <xf numFmtId="0" fontId="2" fillId="0" borderId="0"/>
  </cellStyleXfs>
  <cellXfs count="119">
    <xf numFmtId="0" fontId="0" fillId="0" borderId="0" xfId="0"/>
    <xf numFmtId="0" fontId="1" fillId="0" borderId="0" xfId="0" applyFont="1"/>
    <xf numFmtId="0" fontId="3" fillId="0" borderId="0" xfId="1" applyFont="1" applyProtection="1"/>
    <xf numFmtId="0" fontId="4" fillId="0" borderId="0" xfId="1" applyFont="1" applyAlignment="1" applyProtection="1">
      <alignment horizontal="centerContinuous"/>
    </xf>
    <xf numFmtId="0" fontId="2" fillId="0" borderId="0" xfId="1" applyAlignment="1" applyProtection="1">
      <alignment horizontal="centerContinuous"/>
    </xf>
    <xf numFmtId="0" fontId="2" fillId="0" borderId="0" xfId="1" applyProtection="1"/>
    <xf numFmtId="0" fontId="5" fillId="2" borderId="1" xfId="1" applyFont="1" applyFill="1" applyBorder="1" applyProtection="1"/>
    <xf numFmtId="0" fontId="5" fillId="2" borderId="2" xfId="1" applyFont="1" applyFill="1" applyBorder="1" applyAlignment="1" applyProtection="1">
      <alignment horizontal="left"/>
      <protection locked="0"/>
    </xf>
    <xf numFmtId="0" fontId="2" fillId="2" borderId="2" xfId="1" applyFill="1" applyBorder="1" applyProtection="1"/>
    <xf numFmtId="0" fontId="5" fillId="2" borderId="2" xfId="1" applyFont="1" applyFill="1" applyBorder="1" applyAlignment="1" applyProtection="1">
      <alignment horizontal="left"/>
    </xf>
    <xf numFmtId="18" fontId="6" fillId="2" borderId="2" xfId="1" applyNumberFormat="1" applyFont="1" applyFill="1" applyBorder="1" applyAlignment="1" applyProtection="1">
      <alignment horizontal="left"/>
      <protection locked="0"/>
    </xf>
    <xf numFmtId="0" fontId="6" fillId="2" borderId="2" xfId="1" applyFont="1" applyFill="1" applyBorder="1" applyAlignment="1" applyProtection="1">
      <alignment horizontal="center"/>
      <protection locked="0"/>
    </xf>
    <xf numFmtId="18" fontId="6" fillId="2" borderId="2" xfId="1" applyNumberFormat="1" applyFont="1" applyFill="1" applyBorder="1" applyAlignment="1" applyProtection="1">
      <protection locked="0"/>
    </xf>
    <xf numFmtId="18" fontId="2" fillId="2" borderId="3" xfId="1" applyNumberFormat="1" applyFill="1" applyBorder="1" applyAlignment="1" applyProtection="1"/>
    <xf numFmtId="18" fontId="2" fillId="0" borderId="0" xfId="1" applyNumberFormat="1" applyAlignment="1" applyProtection="1"/>
    <xf numFmtId="0" fontId="0" fillId="0" borderId="0" xfId="0" applyProtection="1"/>
    <xf numFmtId="0" fontId="5" fillId="2" borderId="4" xfId="1" applyFont="1" applyFill="1" applyBorder="1" applyProtection="1"/>
    <xf numFmtId="0" fontId="5" fillId="2" borderId="0" xfId="1" applyFont="1" applyFill="1" applyBorder="1" applyAlignment="1" applyProtection="1">
      <alignment horizontal="left"/>
      <protection locked="0"/>
    </xf>
    <xf numFmtId="0" fontId="2" fillId="2" borderId="0" xfId="1" applyFill="1" applyBorder="1" applyProtection="1"/>
    <xf numFmtId="0" fontId="5" fillId="2" borderId="0" xfId="1" applyFont="1" applyFill="1" applyBorder="1" applyAlignment="1" applyProtection="1">
      <alignment horizontal="left"/>
    </xf>
    <xf numFmtId="164" fontId="6" fillId="2" borderId="0" xfId="1" applyNumberFormat="1" applyFont="1" applyFill="1" applyBorder="1" applyAlignment="1" applyProtection="1">
      <alignment horizontal="centerContinuous"/>
      <protection locked="0"/>
    </xf>
    <xf numFmtId="14" fontId="6" fillId="2" borderId="0" xfId="1" applyNumberFormat="1" applyFont="1" applyFill="1" applyBorder="1" applyAlignment="1" applyProtection="1">
      <alignment horizontal="centerContinuous"/>
      <protection locked="0"/>
    </xf>
    <xf numFmtId="0" fontId="6" fillId="2" borderId="0" xfId="1" applyFont="1" applyFill="1" applyBorder="1" applyAlignment="1" applyProtection="1">
      <alignment horizontal="centerContinuous"/>
      <protection locked="0"/>
    </xf>
    <xf numFmtId="0" fontId="2" fillId="2" borderId="5" xfId="1" applyFill="1" applyBorder="1" applyAlignment="1" applyProtection="1"/>
    <xf numFmtId="0" fontId="2" fillId="0" borderId="0" xfId="1" applyBorder="1" applyAlignment="1" applyProtection="1"/>
    <xf numFmtId="0" fontId="5" fillId="2" borderId="6" xfId="1" applyFont="1" applyFill="1" applyBorder="1" applyAlignment="1" applyProtection="1">
      <alignment horizontal="left"/>
    </xf>
    <xf numFmtId="0" fontId="5" fillId="2" borderId="7" xfId="1" applyFont="1" applyFill="1" applyBorder="1" applyAlignment="1" applyProtection="1">
      <alignment horizontal="left"/>
      <protection locked="0"/>
    </xf>
    <xf numFmtId="0" fontId="2" fillId="2" borderId="7" xfId="1" applyFont="1" applyFill="1" applyBorder="1" applyProtection="1"/>
    <xf numFmtId="0" fontId="2" fillId="2" borderId="7" xfId="1" applyFill="1" applyBorder="1" applyProtection="1"/>
    <xf numFmtId="0" fontId="2" fillId="2" borderId="7" xfId="1" applyFont="1" applyFill="1" applyBorder="1" applyAlignment="1" applyProtection="1">
      <alignment horizontal="left"/>
    </xf>
    <xf numFmtId="0" fontId="5" fillId="2" borderId="7" xfId="1" applyFont="1" applyFill="1" applyBorder="1" applyProtection="1"/>
    <xf numFmtId="0" fontId="5" fillId="2" borderId="7" xfId="1" applyFont="1" applyFill="1" applyBorder="1" applyAlignment="1" applyProtection="1">
      <alignment horizontal="centerContinuous"/>
      <protection locked="0"/>
    </xf>
    <xf numFmtId="0" fontId="6" fillId="2" borderId="7" xfId="1" applyFont="1" applyFill="1" applyBorder="1" applyAlignment="1" applyProtection="1">
      <alignment horizontal="centerContinuous"/>
      <protection locked="0"/>
    </xf>
    <xf numFmtId="0" fontId="5" fillId="2" borderId="7" xfId="1" applyFont="1" applyFill="1" applyBorder="1" applyAlignment="1" applyProtection="1">
      <protection locked="0"/>
    </xf>
    <xf numFmtId="0" fontId="2" fillId="2" borderId="8" xfId="1" applyFont="1" applyFill="1" applyBorder="1" applyProtection="1"/>
    <xf numFmtId="0" fontId="2" fillId="0" borderId="0" xfId="1" applyFont="1" applyBorder="1" applyProtection="1"/>
    <xf numFmtId="1" fontId="2" fillId="0" borderId="4" xfId="1" applyNumberFormat="1" applyFont="1" applyBorder="1" applyAlignment="1" applyProtection="1">
      <alignment horizontal="left"/>
    </xf>
    <xf numFmtId="0" fontId="2" fillId="0" borderId="0" xfId="1" applyBorder="1" applyProtection="1"/>
    <xf numFmtId="18" fontId="2" fillId="0" borderId="0" xfId="1" applyNumberFormat="1" applyFont="1" applyBorder="1" applyAlignment="1" applyProtection="1">
      <alignment horizontal="centerContinuous"/>
    </xf>
    <xf numFmtId="0" fontId="2" fillId="0" borderId="0" xfId="1" applyFont="1" applyBorder="1" applyAlignment="1" applyProtection="1">
      <alignment horizontal="centerContinuous"/>
    </xf>
    <xf numFmtId="20" fontId="2" fillId="0" borderId="0" xfId="1" applyNumberFormat="1" applyFont="1" applyBorder="1" applyAlignment="1" applyProtection="1">
      <alignment horizontal="center"/>
    </xf>
    <xf numFmtId="0" fontId="2" fillId="0" borderId="5" xfId="1" applyBorder="1" applyProtection="1"/>
    <xf numFmtId="0" fontId="2" fillId="0" borderId="0" xfId="1" applyFont="1" applyProtection="1"/>
    <xf numFmtId="0" fontId="2" fillId="0" borderId="0" xfId="1" applyFont="1" applyBorder="1" applyAlignment="1" applyProtection="1">
      <alignment horizontal="center"/>
    </xf>
    <xf numFmtId="20" fontId="2" fillId="0" borderId="0" xfId="1" applyNumberFormat="1" applyFont="1" applyBorder="1" applyAlignment="1" applyProtection="1">
      <alignment horizontal="centerContinuous"/>
    </xf>
    <xf numFmtId="18" fontId="2" fillId="0" borderId="0" xfId="1" applyNumberFormat="1" applyFont="1" applyBorder="1" applyAlignment="1" applyProtection="1"/>
    <xf numFmtId="0" fontId="2" fillId="0" borderId="0" xfId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center"/>
    </xf>
    <xf numFmtId="0" fontId="2" fillId="0" borderId="4" xfId="1" applyBorder="1" applyProtection="1"/>
    <xf numFmtId="0" fontId="2" fillId="0" borderId="0" xfId="1" applyAlignment="1" applyProtection="1">
      <alignment horizontal="right" vertical="center" textRotation="90"/>
    </xf>
    <xf numFmtId="0" fontId="2" fillId="0" borderId="0" xfId="1" applyFont="1" applyAlignment="1" applyProtection="1">
      <alignment horizontal="center" vertical="center" textRotation="90"/>
    </xf>
    <xf numFmtId="0" fontId="2" fillId="0" borderId="0" xfId="1" applyAlignment="1" applyProtection="1">
      <alignment horizontal="left" vertical="center" textRotation="90"/>
    </xf>
    <xf numFmtId="0" fontId="2" fillId="0" borderId="0" xfId="1" applyAlignment="1" applyProtection="1">
      <alignment horizontal="center" textRotation="90"/>
    </xf>
    <xf numFmtId="0" fontId="0" fillId="0" borderId="4" xfId="0" applyBorder="1" applyProtection="1"/>
    <xf numFmtId="0" fontId="2" fillId="0" borderId="0" xfId="1" applyFont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left"/>
    </xf>
    <xf numFmtId="0" fontId="2" fillId="0" borderId="0" xfId="1" applyAlignment="1" applyProtection="1">
      <alignment horizontal="center"/>
    </xf>
    <xf numFmtId="0" fontId="2" fillId="0" borderId="0" xfId="1" applyAlignment="1" applyProtection="1">
      <alignment horizontal="right"/>
    </xf>
    <xf numFmtId="0" fontId="2" fillId="0" borderId="0" xfId="1" applyAlignment="1" applyProtection="1">
      <alignment horizontal="left"/>
    </xf>
    <xf numFmtId="0" fontId="2" fillId="0" borderId="0" xfId="1" applyBorder="1" applyAlignment="1" applyProtection="1">
      <alignment horizontal="center"/>
    </xf>
    <xf numFmtId="0" fontId="2" fillId="0" borderId="5" xfId="1" applyBorder="1" applyAlignment="1" applyProtection="1">
      <alignment horizontal="center"/>
    </xf>
    <xf numFmtId="0" fontId="2" fillId="0" borderId="0" xfId="1" applyFont="1" applyAlignment="1" applyProtection="1">
      <alignment horizontal="center"/>
    </xf>
    <xf numFmtId="0" fontId="0" fillId="0" borderId="5" xfId="0" applyBorder="1" applyProtection="1"/>
    <xf numFmtId="2" fontId="2" fillId="0" borderId="0" xfId="1" applyNumberFormat="1" applyAlignment="1" applyProtection="1">
      <alignment horizontal="right"/>
    </xf>
    <xf numFmtId="3" fontId="2" fillId="0" borderId="0" xfId="1" applyNumberFormat="1" applyAlignment="1" applyProtection="1">
      <alignment horizontal="center"/>
    </xf>
    <xf numFmtId="0" fontId="2" fillId="0" borderId="0" xfId="1" applyBorder="1" applyAlignment="1" applyProtection="1">
      <alignment horizontal="centerContinuous"/>
    </xf>
    <xf numFmtId="0" fontId="2" fillId="0" borderId="0" xfId="1" applyAlignment="1" applyProtection="1">
      <alignment horizontal="center" vertical="top" textRotation="90"/>
    </xf>
    <xf numFmtId="0" fontId="7" fillId="0" borderId="0" xfId="1" applyFont="1" applyBorder="1" applyAlignment="1" applyProtection="1">
      <alignment horizontal="centerContinuous"/>
    </xf>
    <xf numFmtId="0" fontId="8" fillId="0" borderId="0" xfId="1" applyFont="1" applyFill="1" applyBorder="1" applyAlignment="1" applyProtection="1">
      <alignment horizontal="centerContinuous"/>
    </xf>
    <xf numFmtId="0" fontId="2" fillId="0" borderId="0" xfId="1" applyFill="1" applyBorder="1" applyAlignment="1" applyProtection="1">
      <alignment horizontal="centerContinuous"/>
    </xf>
    <xf numFmtId="0" fontId="2" fillId="0" borderId="4" xfId="1" quotePrefix="1" applyFont="1" applyBorder="1" applyAlignment="1" applyProtection="1">
      <alignment horizontal="left"/>
    </xf>
    <xf numFmtId="0" fontId="9" fillId="2" borderId="9" xfId="0" applyFont="1" applyFill="1" applyBorder="1" applyAlignment="1" applyProtection="1">
      <alignment horizontal="centerContinuous"/>
    </xf>
    <xf numFmtId="0" fontId="9" fillId="2" borderId="2" xfId="0" applyFont="1" applyFill="1" applyBorder="1" applyAlignment="1" applyProtection="1">
      <alignment horizontal="center"/>
      <protection locked="0"/>
    </xf>
    <xf numFmtId="0" fontId="9" fillId="2" borderId="2" xfId="0" applyFont="1" applyFill="1" applyBorder="1" applyAlignment="1" applyProtection="1">
      <alignment horizontal="centerContinuous"/>
    </xf>
    <xf numFmtId="0" fontId="5" fillId="2" borderId="10" xfId="1" applyFont="1" applyFill="1" applyBorder="1" applyProtection="1"/>
    <xf numFmtId="0" fontId="6" fillId="0" borderId="0" xfId="1" applyFont="1" applyBorder="1" applyProtection="1"/>
    <xf numFmtId="0" fontId="6" fillId="0" borderId="0" xfId="1" applyFont="1" applyProtection="1"/>
    <xf numFmtId="0" fontId="2" fillId="2" borderId="4" xfId="1" applyFont="1" applyFill="1" applyBorder="1" applyProtection="1"/>
    <xf numFmtId="0" fontId="2" fillId="2" borderId="11" xfId="1" applyFont="1" applyFill="1" applyBorder="1" applyProtection="1"/>
    <xf numFmtId="0" fontId="2" fillId="2" borderId="0" xfId="1" applyFont="1" applyFill="1" applyBorder="1" applyAlignment="1" applyProtection="1">
      <alignment horizontal="center"/>
    </xf>
    <xf numFmtId="0" fontId="2" fillId="2" borderId="11" xfId="1" applyFont="1" applyFill="1" applyBorder="1" applyAlignment="1" applyProtection="1">
      <alignment horizontal="center"/>
    </xf>
    <xf numFmtId="0" fontId="2" fillId="2" borderId="12" xfId="1" applyFont="1" applyFill="1" applyBorder="1" applyProtection="1"/>
    <xf numFmtId="0" fontId="7" fillId="0" borderId="0" xfId="1" applyFont="1" applyBorder="1" applyProtection="1"/>
    <xf numFmtId="0" fontId="7" fillId="0" borderId="0" xfId="1" applyFont="1" applyProtection="1"/>
    <xf numFmtId="0" fontId="7" fillId="0" borderId="0" xfId="1" applyFont="1" applyBorder="1" applyAlignment="1" applyProtection="1">
      <alignment horizontal="center"/>
    </xf>
    <xf numFmtId="0" fontId="5" fillId="2" borderId="6" xfId="1" applyFont="1" applyFill="1" applyBorder="1" applyAlignment="1" applyProtection="1">
      <alignment horizontal="center"/>
    </xf>
    <xf numFmtId="0" fontId="2" fillId="2" borderId="13" xfId="1" applyFont="1" applyFill="1" applyBorder="1" applyAlignment="1" applyProtection="1">
      <alignment horizontal="center"/>
    </xf>
    <xf numFmtId="0" fontId="2" fillId="2" borderId="7" xfId="1" applyFont="1" applyFill="1" applyBorder="1" applyAlignment="1" applyProtection="1">
      <alignment horizontal="center"/>
    </xf>
    <xf numFmtId="0" fontId="2" fillId="2" borderId="14" xfId="1" applyFont="1" applyFill="1" applyBorder="1" applyProtection="1"/>
    <xf numFmtId="0" fontId="10" fillId="0" borderId="4" xfId="1" applyFont="1" applyBorder="1" applyAlignment="1" applyProtection="1">
      <alignment horizontal="center"/>
    </xf>
    <xf numFmtId="0" fontId="10" fillId="0" borderId="11" xfId="1" applyFont="1" applyBorder="1" applyAlignment="1" applyProtection="1">
      <alignment horizontal="center"/>
    </xf>
    <xf numFmtId="0" fontId="10" fillId="0" borderId="0" xfId="1" applyFont="1" applyBorder="1" applyAlignment="1" applyProtection="1">
      <alignment horizontal="center"/>
    </xf>
    <xf numFmtId="0" fontId="10" fillId="0" borderId="12" xfId="1" applyFont="1" applyBorder="1" applyAlignment="1" applyProtection="1">
      <alignment horizontal="center"/>
    </xf>
    <xf numFmtId="0" fontId="11" fillId="0" borderId="0" xfId="1" applyFont="1" applyBorder="1" applyAlignment="1" applyProtection="1">
      <alignment horizontal="center"/>
    </xf>
    <xf numFmtId="18" fontId="2" fillId="0" borderId="4" xfId="1" applyNumberFormat="1" applyFont="1" applyBorder="1" applyAlignment="1" applyProtection="1">
      <alignment horizontal="center"/>
    </xf>
    <xf numFmtId="0" fontId="2" fillId="0" borderId="11" xfId="1" applyFont="1" applyBorder="1" applyAlignment="1" applyProtection="1">
      <alignment horizontal="center"/>
      <protection locked="0"/>
    </xf>
    <xf numFmtId="0" fontId="2" fillId="0" borderId="0" xfId="1" applyFont="1" applyBorder="1" applyAlignment="1" applyProtection="1">
      <alignment horizontal="center"/>
      <protection locked="0"/>
    </xf>
    <xf numFmtId="0" fontId="2" fillId="0" borderId="12" xfId="1" applyFont="1" applyBorder="1" applyAlignment="1" applyProtection="1">
      <alignment horizontal="center"/>
    </xf>
    <xf numFmtId="20" fontId="7" fillId="0" borderId="0" xfId="1" applyNumberFormat="1" applyFont="1" applyProtection="1"/>
    <xf numFmtId="0" fontId="2" fillId="0" borderId="11" xfId="1" applyFont="1" applyBorder="1" applyAlignment="1" applyProtection="1">
      <alignment horizontal="center"/>
    </xf>
    <xf numFmtId="0" fontId="2" fillId="0" borderId="4" xfId="1" applyFont="1" applyBorder="1" applyAlignment="1" applyProtection="1">
      <alignment horizontal="center"/>
    </xf>
    <xf numFmtId="0" fontId="5" fillId="0" borderId="6" xfId="1" applyFont="1" applyBorder="1" applyAlignment="1" applyProtection="1">
      <alignment horizontal="center"/>
    </xf>
    <xf numFmtId="0" fontId="2" fillId="0" borderId="13" xfId="1" applyFont="1" applyBorder="1" applyAlignment="1" applyProtection="1">
      <alignment horizontal="center"/>
    </xf>
    <xf numFmtId="0" fontId="2" fillId="0" borderId="7" xfId="1" applyFont="1" applyBorder="1" applyAlignment="1" applyProtection="1">
      <alignment horizontal="center"/>
    </xf>
    <xf numFmtId="0" fontId="2" fillId="0" borderId="14" xfId="1" applyFont="1" applyBorder="1" applyAlignment="1" applyProtection="1">
      <alignment horizontal="center"/>
    </xf>
    <xf numFmtId="0" fontId="7" fillId="0" borderId="0" xfId="1" applyFont="1" applyAlignment="1" applyProtection="1">
      <alignment horizontal="centerContinuous"/>
    </xf>
    <xf numFmtId="0" fontId="7" fillId="0" borderId="0" xfId="1" applyFont="1" applyAlignment="1" applyProtection="1">
      <alignment horizontal="center"/>
    </xf>
    <xf numFmtId="1" fontId="7" fillId="0" borderId="0" xfId="1" applyNumberFormat="1" applyFont="1" applyAlignment="1" applyProtection="1">
      <alignment horizontal="center"/>
    </xf>
    <xf numFmtId="0" fontId="2" fillId="0" borderId="13" xfId="1" applyFont="1" applyBorder="1" applyProtection="1"/>
    <xf numFmtId="0" fontId="2" fillId="0" borderId="7" xfId="1" applyFont="1" applyBorder="1" applyProtection="1"/>
    <xf numFmtId="0" fontId="2" fillId="0" borderId="14" xfId="1" applyFont="1" applyBorder="1" applyProtection="1"/>
    <xf numFmtId="20" fontId="7" fillId="0" borderId="0" xfId="1" applyNumberFormat="1" applyFont="1" applyAlignment="1" applyProtection="1">
      <alignment horizontal="center"/>
    </xf>
    <xf numFmtId="0" fontId="2" fillId="0" borderId="6" xfId="1" applyFont="1" applyBorder="1" applyAlignment="1" applyProtection="1">
      <alignment horizontal="left"/>
    </xf>
    <xf numFmtId="0" fontId="2" fillId="0" borderId="0" xfId="1" applyFont="1" applyAlignment="1" applyProtection="1">
      <alignment horizontal="left"/>
    </xf>
    <xf numFmtId="0" fontId="7" fillId="0" borderId="0" xfId="1" applyFont="1" applyAlignment="1" applyProtection="1">
      <alignment horizontal="left"/>
    </xf>
    <xf numFmtId="0" fontId="5" fillId="0" borderId="0" xfId="1" applyFont="1" applyProtection="1"/>
    <xf numFmtId="0" fontId="2" fillId="0" borderId="0" xfId="1" applyAlignment="1" applyProtection="1"/>
    <xf numFmtId="0" fontId="12" fillId="0" borderId="0" xfId="1" applyFont="1" applyAlignment="1" applyProtection="1">
      <alignment horizontal="left"/>
    </xf>
    <xf numFmtId="0" fontId="7" fillId="0" borderId="0" xfId="1" applyFont="1" applyBorder="1" applyAlignment="1" applyProtection="1">
      <alignment horizontal="left"/>
    </xf>
  </cellXfs>
  <cellStyles count="2">
    <cellStyle name="Normal" xfId="0" builtinId="0"/>
    <cellStyle name="Normal_2HourCount(TN).0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4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4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1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4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4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7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4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4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7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0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1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4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1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1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0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2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2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2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0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7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7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7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7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7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3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8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8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1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1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1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1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1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3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63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64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64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4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4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4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64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64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4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6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8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8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8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8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9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9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9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0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0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0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0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0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0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0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1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1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5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1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1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1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5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5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1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5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4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4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4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4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4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3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3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3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5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5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76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6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6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6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6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6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6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7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7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7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1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7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7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1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1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8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9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1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1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0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0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0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0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0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9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9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2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2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82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2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82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2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2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83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3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3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3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3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3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3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8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3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4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8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7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4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5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7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7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7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7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6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6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6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6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6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8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8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88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8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8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88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9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9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9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89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9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9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9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9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9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90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94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0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0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0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94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0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94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0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1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93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93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3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3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3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2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2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2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2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94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94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94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95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95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5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95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95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95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95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95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96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96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96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0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0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6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6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6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0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6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0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7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0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0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9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9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9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9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9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8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8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1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1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01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1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01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1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1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01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02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2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2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2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02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02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7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7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2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2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3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6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6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3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4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6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6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06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05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05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05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5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5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7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74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07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7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77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07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7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8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81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08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08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8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8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8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87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08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08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3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3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9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9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9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3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9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3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9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0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2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2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2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2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1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1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1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1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3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137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13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3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140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14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4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14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144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4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14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14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14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150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15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15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9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9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15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15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5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9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5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9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5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6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9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6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8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8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8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8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7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7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7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9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00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20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0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203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20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0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20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207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20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20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21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21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213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21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21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6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21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21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2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5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2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5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2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3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3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5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25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25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24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24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24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24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24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3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R124"/>
  <sheetViews>
    <sheetView tabSelected="1" workbookViewId="0">
      <selection activeCell="D58" sqref="D58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51</v>
      </c>
      <c r="D4" s="8"/>
      <c r="E4" s="8"/>
      <c r="F4" s="8"/>
      <c r="G4" s="8"/>
      <c r="H4" s="8"/>
      <c r="I4" s="9" t="s">
        <v>3</v>
      </c>
      <c r="J4" s="9"/>
      <c r="K4" s="10">
        <v>0.66666666666666663</v>
      </c>
      <c r="L4" s="11" t="s">
        <v>4</v>
      </c>
      <c r="M4" s="12">
        <v>0.75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52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66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0.69791666666666663</v>
      </c>
      <c r="D7" s="39"/>
      <c r="E7" s="40" t="s">
        <v>4</v>
      </c>
      <c r="F7" s="38">
        <f>C7+60/1440</f>
        <v>0.73958333333333326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0.70833333333333326</v>
      </c>
      <c r="D8" s="39"/>
      <c r="E8" s="40" t="s">
        <v>4</v>
      </c>
      <c r="F8" s="38">
        <f>Q61</f>
        <v>0.71874999999999989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Longley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0.77292576419213976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>
        <f>IF(L29="N/A","N/A",IF(C29="N/A","N/A",INDEX($B$63:$M$71,$R$64,12)))</f>
        <v>123</v>
      </c>
      <c r="D11" s="50">
        <f>IF(L29="N/A","N/A",IF(I29="N/A","N/A",INDEX($B$63:$M$71,$R$64,11)))</f>
        <v>498</v>
      </c>
      <c r="E11" s="51">
        <f>IF(L29="N/A","N/A",IF(F29="N/A","N/A",INDEX($B$63:$M$71,$R$64,10)))</f>
        <v>87</v>
      </c>
      <c r="F11" s="37"/>
      <c r="G11" s="37"/>
      <c r="H11" s="37"/>
      <c r="I11" s="15"/>
      <c r="J11" s="52">
        <f>IF(L29="N/A","N/A",L77)</f>
        <v>708</v>
      </c>
      <c r="K11" s="52">
        <f>IF(L29="N/A","N/A",L78)</f>
        <v>954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S. McCarran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0.84288537549407117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>
        <f>IF(C29="N/A","N/A",IF(L29="N/A","N/A",INDEX($B$63:$M$71,$R$64,1)))</f>
        <v>196</v>
      </c>
      <c r="C15" s="37"/>
      <c r="D15" s="37"/>
      <c r="E15" s="37"/>
      <c r="F15" s="56">
        <f>IF(F29="N/A","N/A",IF(L29="N/A","N/A",INDEX($B$63:$M$71,$R$64,6)))</f>
        <v>53</v>
      </c>
      <c r="G15" s="37"/>
      <c r="H15" s="57">
        <f>IF(C29="N/A","N/A",C76)</f>
        <v>677</v>
      </c>
      <c r="I15" s="37"/>
      <c r="J15" s="37"/>
      <c r="K15" s="37"/>
      <c r="L15" s="15"/>
      <c r="M15" s="58">
        <f>IF(F29="N/A","N/A",F77)</f>
        <v>1057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599</v>
      </c>
      <c r="C17" s="37"/>
      <c r="D17" s="37"/>
      <c r="E17" s="37"/>
      <c r="F17" s="61">
        <f>IF(F29="N/A","N/A",IF(C29="N/A","N/A",INDEX($B$63:$M$71,$R$64,5)))</f>
        <v>423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4348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>
        <f>IF(C29="N/A","N/A",IF(I29="N/A","N/A",INDEX($B$63:$M$71,$R$64,3)))</f>
        <v>58</v>
      </c>
      <c r="C19" s="37"/>
      <c r="D19" s="37"/>
      <c r="E19" s="37"/>
      <c r="F19" s="56">
        <f>IF(F29="N/A","N/A",IF(I29="N/A","N/A",INDEX($B$63:$M$71,$R$64,4)))</f>
        <v>581</v>
      </c>
      <c r="G19" s="37"/>
      <c r="H19" s="57">
        <f>IF(C29="N/A","N/A",C77)</f>
        <v>853</v>
      </c>
      <c r="I19" s="37"/>
      <c r="J19" s="37"/>
      <c r="K19" s="37"/>
      <c r="L19" s="15"/>
      <c r="M19" s="58">
        <f>IF(F29="N/A","N/A",F78)</f>
        <v>1580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S. McCarran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0.92073170731707321</v>
      </c>
      <c r="N22" s="62"/>
      <c r="P22" s="5" t="s">
        <v>17</v>
      </c>
      <c r="Q22" s="42"/>
      <c r="R22" s="42"/>
    </row>
    <row r="23" spans="1:28" ht="30" customHeight="1">
      <c r="A23" s="48"/>
      <c r="B23" s="37"/>
      <c r="C23" s="49">
        <f>IF(I29="N/A","N/A",IF(C29="N/A","N/A",INDEX($B$63:$M$71,$R$64,7)))</f>
        <v>131</v>
      </c>
      <c r="D23" s="50">
        <f>IF(I29="N/A","N/A",IF(L29="N/A","N/A",INDEX($B$63:$M$71,$R$64,8)))</f>
        <v>705</v>
      </c>
      <c r="E23" s="51">
        <f>IF(I29="N/A","N/A",IF(F29="N/A","N/A",INDEX($B$63:$M$71,$R$64,9)))</f>
        <v>894</v>
      </c>
      <c r="F23" s="15"/>
      <c r="G23" s="65"/>
      <c r="H23" s="37"/>
      <c r="I23" s="37"/>
      <c r="J23" s="66">
        <f>IF(I29="N/A","N/A",I76)</f>
        <v>1137</v>
      </c>
      <c r="K23" s="66">
        <f>IF(I29="N/A","N/A",I77)</f>
        <v>1730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Longley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0.81296992481203012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0.84855581576893058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53</v>
      </c>
      <c r="D29" s="73"/>
      <c r="E29" s="71"/>
      <c r="F29" s="72" t="s">
        <v>53</v>
      </c>
      <c r="G29" s="73"/>
      <c r="H29" s="71"/>
      <c r="I29" s="72" t="s">
        <v>54</v>
      </c>
      <c r="J29" s="73"/>
      <c r="K29" s="71"/>
      <c r="L29" s="72" t="s">
        <v>54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0.67708333333333337</v>
      </c>
      <c r="B33" s="95">
        <v>45</v>
      </c>
      <c r="C33" s="96">
        <v>111</v>
      </c>
      <c r="D33" s="96">
        <v>18</v>
      </c>
      <c r="E33" s="95">
        <v>121</v>
      </c>
      <c r="F33" s="96">
        <v>103</v>
      </c>
      <c r="G33" s="96">
        <v>8</v>
      </c>
      <c r="H33" s="95">
        <v>32</v>
      </c>
      <c r="I33" s="96">
        <v>151</v>
      </c>
      <c r="J33" s="96">
        <v>258</v>
      </c>
      <c r="K33" s="95">
        <v>18</v>
      </c>
      <c r="L33" s="96">
        <v>125</v>
      </c>
      <c r="M33" s="96">
        <v>44</v>
      </c>
      <c r="N33" s="97">
        <f t="shared" ref="N33:N40" si="0">IF(SUM(B33:M33)&lt;=0,"",SUM(B33:M33))</f>
        <v>1034</v>
      </c>
      <c r="O33" s="84"/>
      <c r="P33" s="84"/>
      <c r="Q33" s="98"/>
    </row>
    <row r="34" spans="1:28" s="83" customFormat="1">
      <c r="A34" s="94">
        <v>0.6875</v>
      </c>
      <c r="B34" s="95">
        <v>81</v>
      </c>
      <c r="C34" s="96">
        <v>236</v>
      </c>
      <c r="D34" s="96">
        <v>35</v>
      </c>
      <c r="E34" s="95">
        <v>235</v>
      </c>
      <c r="F34" s="96">
        <v>173</v>
      </c>
      <c r="G34" s="96">
        <v>20</v>
      </c>
      <c r="H34" s="95">
        <v>78</v>
      </c>
      <c r="I34" s="96">
        <v>278</v>
      </c>
      <c r="J34" s="96">
        <v>446</v>
      </c>
      <c r="K34" s="95">
        <v>30</v>
      </c>
      <c r="L34" s="96">
        <v>248</v>
      </c>
      <c r="M34" s="96">
        <v>80</v>
      </c>
      <c r="N34" s="97">
        <f t="shared" si="0"/>
        <v>1940</v>
      </c>
      <c r="O34" s="84"/>
      <c r="P34" s="84"/>
      <c r="Q34" s="98"/>
    </row>
    <row r="35" spans="1:28" s="83" customFormat="1">
      <c r="A35" s="94">
        <v>0.69791666666666663</v>
      </c>
      <c r="B35" s="95">
        <v>134</v>
      </c>
      <c r="C35" s="96">
        <v>388</v>
      </c>
      <c r="D35" s="96">
        <v>52</v>
      </c>
      <c r="E35" s="95">
        <v>342</v>
      </c>
      <c r="F35" s="96">
        <v>240</v>
      </c>
      <c r="G35" s="96">
        <v>27</v>
      </c>
      <c r="H35" s="95">
        <v>106</v>
      </c>
      <c r="I35" s="96">
        <v>425</v>
      </c>
      <c r="J35" s="96">
        <v>680</v>
      </c>
      <c r="K35" s="95">
        <v>52</v>
      </c>
      <c r="L35" s="96">
        <v>357</v>
      </c>
      <c r="M35" s="96">
        <v>118</v>
      </c>
      <c r="N35" s="97">
        <f t="shared" si="0"/>
        <v>2921</v>
      </c>
      <c r="O35" s="84"/>
      <c r="P35" s="84"/>
      <c r="Q35" s="98"/>
    </row>
    <row r="36" spans="1:28" s="76" customFormat="1">
      <c r="A36" s="94">
        <v>0.70833333333333304</v>
      </c>
      <c r="B36" s="95">
        <v>177</v>
      </c>
      <c r="C36" s="96">
        <v>516</v>
      </c>
      <c r="D36" s="96">
        <v>70</v>
      </c>
      <c r="E36" s="95">
        <v>474</v>
      </c>
      <c r="F36" s="96">
        <v>362</v>
      </c>
      <c r="G36" s="96">
        <v>37</v>
      </c>
      <c r="H36" s="95">
        <v>138</v>
      </c>
      <c r="I36" s="96">
        <v>548</v>
      </c>
      <c r="J36" s="96">
        <v>871</v>
      </c>
      <c r="K36" s="95">
        <v>75</v>
      </c>
      <c r="L36" s="96">
        <v>464</v>
      </c>
      <c r="M36" s="96">
        <v>155</v>
      </c>
      <c r="N36" s="97">
        <f t="shared" si="0"/>
        <v>3887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0.71875</v>
      </c>
      <c r="B37" s="95">
        <v>231</v>
      </c>
      <c r="C37" s="96">
        <v>702</v>
      </c>
      <c r="D37" s="96">
        <v>83</v>
      </c>
      <c r="E37" s="95">
        <v>636</v>
      </c>
      <c r="F37" s="96">
        <v>456</v>
      </c>
      <c r="G37" s="96">
        <v>48</v>
      </c>
      <c r="H37" s="95">
        <v>176</v>
      </c>
      <c r="I37" s="96">
        <v>786</v>
      </c>
      <c r="J37" s="96">
        <v>1127</v>
      </c>
      <c r="K37" s="95">
        <v>105</v>
      </c>
      <c r="L37" s="96">
        <v>639</v>
      </c>
      <c r="M37" s="96">
        <v>179</v>
      </c>
      <c r="N37" s="97">
        <f t="shared" si="0"/>
        <v>5168</v>
      </c>
      <c r="O37" s="84"/>
      <c r="P37" s="84"/>
      <c r="Q37" s="98"/>
    </row>
    <row r="38" spans="1:28" s="83" customFormat="1">
      <c r="A38" s="94">
        <v>0.72916666666666696</v>
      </c>
      <c r="B38" s="95">
        <v>290</v>
      </c>
      <c r="C38" s="96">
        <v>851</v>
      </c>
      <c r="D38" s="96">
        <v>101</v>
      </c>
      <c r="E38" s="95">
        <v>765</v>
      </c>
      <c r="F38" s="96">
        <v>552</v>
      </c>
      <c r="G38" s="96">
        <v>62</v>
      </c>
      <c r="H38" s="95">
        <v>209</v>
      </c>
      <c r="I38" s="96">
        <v>995</v>
      </c>
      <c r="J38" s="96">
        <v>1360</v>
      </c>
      <c r="K38" s="95">
        <v>122</v>
      </c>
      <c r="L38" s="96">
        <v>753</v>
      </c>
      <c r="M38" s="96">
        <v>212</v>
      </c>
      <c r="N38" s="97">
        <f t="shared" si="0"/>
        <v>6272</v>
      </c>
      <c r="O38" s="84"/>
      <c r="P38" s="84"/>
      <c r="Q38" s="98"/>
    </row>
    <row r="39" spans="1:28" s="83" customFormat="1">
      <c r="A39" s="94">
        <v>0.73958333333333304</v>
      </c>
      <c r="B39" s="95">
        <v>330</v>
      </c>
      <c r="C39" s="96">
        <v>987</v>
      </c>
      <c r="D39" s="96">
        <v>110</v>
      </c>
      <c r="E39" s="95">
        <v>923</v>
      </c>
      <c r="F39" s="96">
        <v>663</v>
      </c>
      <c r="G39" s="96">
        <v>80</v>
      </c>
      <c r="H39" s="95">
        <v>237</v>
      </c>
      <c r="I39" s="96">
        <v>1130</v>
      </c>
      <c r="J39" s="96">
        <v>1574</v>
      </c>
      <c r="K39" s="95">
        <v>139</v>
      </c>
      <c r="L39" s="96">
        <v>855</v>
      </c>
      <c r="M39" s="96">
        <v>241</v>
      </c>
      <c r="N39" s="97">
        <f t="shared" si="0"/>
        <v>7269</v>
      </c>
      <c r="O39" s="84"/>
      <c r="P39" s="84"/>
      <c r="Q39" s="98" t="s">
        <v>17</v>
      </c>
    </row>
    <row r="40" spans="1:28" s="83" customFormat="1">
      <c r="A40" s="94">
        <v>0.75</v>
      </c>
      <c r="B40" s="95">
        <v>375</v>
      </c>
      <c r="C40" s="96">
        <v>1090</v>
      </c>
      <c r="D40" s="96">
        <v>130</v>
      </c>
      <c r="E40" s="95">
        <v>1009</v>
      </c>
      <c r="F40" s="96">
        <v>735</v>
      </c>
      <c r="G40" s="96">
        <v>87</v>
      </c>
      <c r="H40" s="95">
        <v>269</v>
      </c>
      <c r="I40" s="96">
        <v>1206</v>
      </c>
      <c r="J40" s="96">
        <v>1739</v>
      </c>
      <c r="K40" s="95">
        <v>151</v>
      </c>
      <c r="L40" s="96">
        <v>941</v>
      </c>
      <c r="M40" s="96">
        <v>263</v>
      </c>
      <c r="N40" s="97">
        <f t="shared" si="0"/>
        <v>7995</v>
      </c>
      <c r="O40" s="84"/>
      <c r="P40" s="84"/>
      <c r="Q40" s="98"/>
    </row>
    <row r="41" spans="1:28" s="83" customFormat="1">
      <c r="A41" s="94"/>
      <c r="B41" s="99"/>
      <c r="C41" s="43" t="s">
        <v>17</v>
      </c>
      <c r="D41" s="43"/>
      <c r="E41" s="99"/>
      <c r="F41" s="43"/>
      <c r="G41" s="43"/>
      <c r="H41" s="99"/>
      <c r="I41" s="43"/>
      <c r="J41" s="43"/>
      <c r="K41" s="99"/>
      <c r="L41" s="43"/>
      <c r="M41" s="43"/>
      <c r="N41" s="97"/>
      <c r="O41" s="84"/>
      <c r="P41" s="84"/>
      <c r="Q41" s="98"/>
    </row>
    <row r="42" spans="1:28" s="83" customFormat="1">
      <c r="A42" s="94"/>
      <c r="B42" s="99"/>
      <c r="C42" s="43"/>
      <c r="D42" s="43"/>
      <c r="E42" s="99"/>
      <c r="F42" s="43"/>
      <c r="G42" s="43"/>
      <c r="H42" s="99"/>
      <c r="I42" s="43"/>
      <c r="J42" s="43"/>
      <c r="K42" s="99"/>
      <c r="L42" s="43"/>
      <c r="M42" s="43"/>
      <c r="N42" s="97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0.66666666666666674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0.67708333333333337</v>
      </c>
      <c r="B48" s="99">
        <f>IF(B33="","",B33)</f>
        <v>45</v>
      </c>
      <c r="C48" s="43">
        <f>IF(C33="","",C33)</f>
        <v>111</v>
      </c>
      <c r="D48" s="43">
        <f>IF(D33="","",D33)</f>
        <v>18</v>
      </c>
      <c r="E48" s="99">
        <f t="shared" ref="E48:M48" si="1">IF(E33="","",E33)</f>
        <v>121</v>
      </c>
      <c r="F48" s="43">
        <f t="shared" si="1"/>
        <v>103</v>
      </c>
      <c r="G48" s="43">
        <f t="shared" si="1"/>
        <v>8</v>
      </c>
      <c r="H48" s="99">
        <f t="shared" si="1"/>
        <v>32</v>
      </c>
      <c r="I48" s="43">
        <f t="shared" si="1"/>
        <v>151</v>
      </c>
      <c r="J48" s="43">
        <f t="shared" si="1"/>
        <v>258</v>
      </c>
      <c r="K48" s="99">
        <f t="shared" si="1"/>
        <v>18</v>
      </c>
      <c r="L48" s="43">
        <f t="shared" si="1"/>
        <v>125</v>
      </c>
      <c r="M48" s="43">
        <f t="shared" si="1"/>
        <v>44</v>
      </c>
      <c r="N48" s="97">
        <f t="shared" ref="N48:N58" si="2">IF(SUM(B48:M48)&lt;=0,"",SUM(B48:M48))</f>
        <v>1034</v>
      </c>
      <c r="O48" s="84"/>
      <c r="P48" s="84"/>
      <c r="Q48" s="98">
        <f t="shared" ref="Q48:Q59" si="3">$A48</f>
        <v>0.67708333333333337</v>
      </c>
      <c r="R48" s="106">
        <f t="shared" ref="R48:R59" si="4">SUM(B48:D48)</f>
        <v>174</v>
      </c>
      <c r="S48" s="106">
        <f t="shared" ref="S48:S59" si="5">SUM(E48:G48)</f>
        <v>232</v>
      </c>
      <c r="T48" s="106">
        <f t="shared" ref="T48:T59" si="6">SUM(H48:J48)</f>
        <v>441</v>
      </c>
      <c r="U48" s="106">
        <f t="shared" ref="U48:U59" si="7">SUM(K48:M48)</f>
        <v>187</v>
      </c>
      <c r="V48" s="106">
        <f t="shared" ref="V48:V59" si="8">SUM(R48:U48)</f>
        <v>1034</v>
      </c>
      <c r="W48" s="107">
        <f>MATCH(S64,Q47:Q59,0)</f>
        <v>4</v>
      </c>
    </row>
    <row r="49" spans="1:23" s="83" customFormat="1">
      <c r="A49" s="94">
        <f t="shared" ref="A49:A59" si="9">IF(A34="","",A48+15/1440)</f>
        <v>0.6875</v>
      </c>
      <c r="B49" s="99">
        <f t="shared" ref="B49:M59" si="10">IF(B34="","",B34-B33)</f>
        <v>36</v>
      </c>
      <c r="C49" s="43">
        <f t="shared" si="10"/>
        <v>125</v>
      </c>
      <c r="D49" s="43">
        <f t="shared" si="10"/>
        <v>17</v>
      </c>
      <c r="E49" s="99">
        <f t="shared" si="10"/>
        <v>114</v>
      </c>
      <c r="F49" s="43">
        <f t="shared" si="10"/>
        <v>70</v>
      </c>
      <c r="G49" s="43">
        <f t="shared" si="10"/>
        <v>12</v>
      </c>
      <c r="H49" s="99">
        <f t="shared" si="10"/>
        <v>46</v>
      </c>
      <c r="I49" s="43">
        <f t="shared" si="10"/>
        <v>127</v>
      </c>
      <c r="J49" s="43">
        <f t="shared" si="10"/>
        <v>188</v>
      </c>
      <c r="K49" s="99">
        <f t="shared" si="10"/>
        <v>12</v>
      </c>
      <c r="L49" s="43">
        <f t="shared" si="10"/>
        <v>123</v>
      </c>
      <c r="M49" s="43">
        <f t="shared" si="10"/>
        <v>36</v>
      </c>
      <c r="N49" s="97">
        <f t="shared" si="2"/>
        <v>906</v>
      </c>
      <c r="O49" s="84"/>
      <c r="P49" s="84"/>
      <c r="Q49" s="98">
        <f t="shared" si="3"/>
        <v>0.6875</v>
      </c>
      <c r="R49" s="106">
        <f t="shared" si="4"/>
        <v>178</v>
      </c>
      <c r="S49" s="106">
        <f t="shared" si="5"/>
        <v>196</v>
      </c>
      <c r="T49" s="106">
        <f t="shared" si="6"/>
        <v>361</v>
      </c>
      <c r="U49" s="106">
        <f t="shared" si="7"/>
        <v>171</v>
      </c>
      <c r="V49" s="106">
        <f t="shared" si="8"/>
        <v>906</v>
      </c>
      <c r="W49" s="107">
        <f>W48+1</f>
        <v>5</v>
      </c>
    </row>
    <row r="50" spans="1:23" s="83" customFormat="1">
      <c r="A50" s="94">
        <f t="shared" si="9"/>
        <v>0.69791666666666663</v>
      </c>
      <c r="B50" s="99">
        <f t="shared" si="10"/>
        <v>53</v>
      </c>
      <c r="C50" s="43">
        <f t="shared" si="10"/>
        <v>152</v>
      </c>
      <c r="D50" s="43">
        <f t="shared" si="10"/>
        <v>17</v>
      </c>
      <c r="E50" s="99">
        <f t="shared" si="10"/>
        <v>107</v>
      </c>
      <c r="F50" s="43">
        <f t="shared" si="10"/>
        <v>67</v>
      </c>
      <c r="G50" s="43">
        <f t="shared" si="10"/>
        <v>7</v>
      </c>
      <c r="H50" s="99">
        <f t="shared" si="10"/>
        <v>28</v>
      </c>
      <c r="I50" s="43">
        <f t="shared" si="10"/>
        <v>147</v>
      </c>
      <c r="J50" s="43">
        <f t="shared" si="10"/>
        <v>234</v>
      </c>
      <c r="K50" s="99">
        <f t="shared" si="10"/>
        <v>22</v>
      </c>
      <c r="L50" s="43">
        <f t="shared" si="10"/>
        <v>109</v>
      </c>
      <c r="M50" s="43">
        <f t="shared" si="10"/>
        <v>38</v>
      </c>
      <c r="N50" s="97">
        <f t="shared" si="2"/>
        <v>981</v>
      </c>
      <c r="O50" s="84"/>
      <c r="P50" s="84"/>
      <c r="Q50" s="98">
        <f t="shared" si="3"/>
        <v>0.69791666666666663</v>
      </c>
      <c r="R50" s="106">
        <f t="shared" si="4"/>
        <v>222</v>
      </c>
      <c r="S50" s="106">
        <f t="shared" si="5"/>
        <v>181</v>
      </c>
      <c r="T50" s="106">
        <f t="shared" si="6"/>
        <v>409</v>
      </c>
      <c r="U50" s="106">
        <f t="shared" si="7"/>
        <v>169</v>
      </c>
      <c r="V50" s="106">
        <f t="shared" si="8"/>
        <v>981</v>
      </c>
      <c r="W50" s="107">
        <f>W49+1</f>
        <v>6</v>
      </c>
    </row>
    <row r="51" spans="1:23" s="83" customFormat="1">
      <c r="A51" s="94">
        <f t="shared" si="9"/>
        <v>0.70833333333333326</v>
      </c>
      <c r="B51" s="99">
        <f t="shared" si="10"/>
        <v>43</v>
      </c>
      <c r="C51" s="43">
        <f t="shared" si="10"/>
        <v>128</v>
      </c>
      <c r="D51" s="43">
        <f t="shared" si="10"/>
        <v>18</v>
      </c>
      <c r="E51" s="99">
        <f t="shared" si="10"/>
        <v>132</v>
      </c>
      <c r="F51" s="43">
        <f t="shared" si="10"/>
        <v>122</v>
      </c>
      <c r="G51" s="43">
        <f t="shared" si="10"/>
        <v>10</v>
      </c>
      <c r="H51" s="99">
        <f t="shared" si="10"/>
        <v>32</v>
      </c>
      <c r="I51" s="43">
        <f t="shared" si="10"/>
        <v>123</v>
      </c>
      <c r="J51" s="43">
        <f t="shared" si="10"/>
        <v>191</v>
      </c>
      <c r="K51" s="99">
        <f t="shared" si="10"/>
        <v>23</v>
      </c>
      <c r="L51" s="43">
        <f t="shared" si="10"/>
        <v>107</v>
      </c>
      <c r="M51" s="43">
        <f t="shared" si="10"/>
        <v>37</v>
      </c>
      <c r="N51" s="97">
        <f t="shared" si="2"/>
        <v>966</v>
      </c>
      <c r="O51" s="84"/>
      <c r="P51" s="84"/>
      <c r="Q51" s="98">
        <f t="shared" si="3"/>
        <v>0.70833333333333326</v>
      </c>
      <c r="R51" s="106">
        <f t="shared" si="4"/>
        <v>189</v>
      </c>
      <c r="S51" s="106">
        <f t="shared" si="5"/>
        <v>264</v>
      </c>
      <c r="T51" s="106">
        <f t="shared" si="6"/>
        <v>346</v>
      </c>
      <c r="U51" s="106">
        <f t="shared" si="7"/>
        <v>167</v>
      </c>
      <c r="V51" s="106">
        <f t="shared" si="8"/>
        <v>966</v>
      </c>
      <c r="W51" s="107">
        <f>W50+1</f>
        <v>7</v>
      </c>
    </row>
    <row r="52" spans="1:23" s="83" customFormat="1">
      <c r="A52" s="94">
        <f t="shared" si="9"/>
        <v>0.71874999999999989</v>
      </c>
      <c r="B52" s="99">
        <f t="shared" si="10"/>
        <v>54</v>
      </c>
      <c r="C52" s="43">
        <f t="shared" si="10"/>
        <v>186</v>
      </c>
      <c r="D52" s="43">
        <f t="shared" si="10"/>
        <v>13</v>
      </c>
      <c r="E52" s="99">
        <f t="shared" si="10"/>
        <v>162</v>
      </c>
      <c r="F52" s="43">
        <f t="shared" si="10"/>
        <v>94</v>
      </c>
      <c r="G52" s="43">
        <f t="shared" si="10"/>
        <v>11</v>
      </c>
      <c r="H52" s="99">
        <f t="shared" si="10"/>
        <v>38</v>
      </c>
      <c r="I52" s="43">
        <f t="shared" si="10"/>
        <v>238</v>
      </c>
      <c r="J52" s="43">
        <f t="shared" si="10"/>
        <v>256</v>
      </c>
      <c r="K52" s="99">
        <f t="shared" si="10"/>
        <v>30</v>
      </c>
      <c r="L52" s="43">
        <f t="shared" si="10"/>
        <v>175</v>
      </c>
      <c r="M52" s="43">
        <f t="shared" si="10"/>
        <v>24</v>
      </c>
      <c r="N52" s="97">
        <f t="shared" si="2"/>
        <v>1281</v>
      </c>
      <c r="O52" s="84"/>
      <c r="P52" s="84"/>
      <c r="Q52" s="98">
        <f t="shared" si="3"/>
        <v>0.71874999999999989</v>
      </c>
      <c r="R52" s="106">
        <f t="shared" si="4"/>
        <v>253</v>
      </c>
      <c r="S52" s="106">
        <f t="shared" si="5"/>
        <v>267</v>
      </c>
      <c r="T52" s="106">
        <f t="shared" si="6"/>
        <v>532</v>
      </c>
      <c r="U52" s="106">
        <f t="shared" si="7"/>
        <v>229</v>
      </c>
      <c r="V52" s="106">
        <f t="shared" si="8"/>
        <v>1281</v>
      </c>
    </row>
    <row r="53" spans="1:23" s="83" customFormat="1">
      <c r="A53" s="94">
        <f t="shared" si="9"/>
        <v>0.72916666666666652</v>
      </c>
      <c r="B53" s="99">
        <f t="shared" si="10"/>
        <v>59</v>
      </c>
      <c r="C53" s="43">
        <f t="shared" si="10"/>
        <v>149</v>
      </c>
      <c r="D53" s="43">
        <f t="shared" si="10"/>
        <v>18</v>
      </c>
      <c r="E53" s="99">
        <f t="shared" si="10"/>
        <v>129</v>
      </c>
      <c r="F53" s="43">
        <f t="shared" si="10"/>
        <v>96</v>
      </c>
      <c r="G53" s="43">
        <f t="shared" si="10"/>
        <v>14</v>
      </c>
      <c r="H53" s="99">
        <f t="shared" si="10"/>
        <v>33</v>
      </c>
      <c r="I53" s="43">
        <f t="shared" si="10"/>
        <v>209</v>
      </c>
      <c r="J53" s="43">
        <f t="shared" si="10"/>
        <v>233</v>
      </c>
      <c r="K53" s="99">
        <f t="shared" si="10"/>
        <v>17</v>
      </c>
      <c r="L53" s="43">
        <f t="shared" si="10"/>
        <v>114</v>
      </c>
      <c r="M53" s="43">
        <f t="shared" si="10"/>
        <v>33</v>
      </c>
      <c r="N53" s="97">
        <f t="shared" si="2"/>
        <v>1104</v>
      </c>
      <c r="O53" s="84"/>
      <c r="P53" s="84"/>
      <c r="Q53" s="98">
        <f t="shared" si="3"/>
        <v>0.72916666666666652</v>
      </c>
      <c r="R53" s="106">
        <f t="shared" si="4"/>
        <v>226</v>
      </c>
      <c r="S53" s="106">
        <f t="shared" si="5"/>
        <v>239</v>
      </c>
      <c r="T53" s="106">
        <f t="shared" si="6"/>
        <v>475</v>
      </c>
      <c r="U53" s="106">
        <f t="shared" si="7"/>
        <v>164</v>
      </c>
      <c r="V53" s="106">
        <f t="shared" si="8"/>
        <v>1104</v>
      </c>
    </row>
    <row r="54" spans="1:23" s="83" customFormat="1">
      <c r="A54" s="94">
        <f t="shared" si="9"/>
        <v>0.73958333333333315</v>
      </c>
      <c r="B54" s="99">
        <f t="shared" si="10"/>
        <v>40</v>
      </c>
      <c r="C54" s="43">
        <f t="shared" si="10"/>
        <v>136</v>
      </c>
      <c r="D54" s="43">
        <f t="shared" si="10"/>
        <v>9</v>
      </c>
      <c r="E54" s="99">
        <f t="shared" si="10"/>
        <v>158</v>
      </c>
      <c r="F54" s="43">
        <f t="shared" si="10"/>
        <v>111</v>
      </c>
      <c r="G54" s="43">
        <f t="shared" si="10"/>
        <v>18</v>
      </c>
      <c r="H54" s="99">
        <f t="shared" si="10"/>
        <v>28</v>
      </c>
      <c r="I54" s="43">
        <f t="shared" si="10"/>
        <v>135</v>
      </c>
      <c r="J54" s="43">
        <f t="shared" si="10"/>
        <v>214</v>
      </c>
      <c r="K54" s="99">
        <f t="shared" si="10"/>
        <v>17</v>
      </c>
      <c r="L54" s="43">
        <f t="shared" si="10"/>
        <v>102</v>
      </c>
      <c r="M54" s="43">
        <f t="shared" si="10"/>
        <v>29</v>
      </c>
      <c r="N54" s="97">
        <f t="shared" si="2"/>
        <v>997</v>
      </c>
      <c r="O54" s="84"/>
      <c r="P54" s="84"/>
      <c r="Q54" s="98">
        <f t="shared" si="3"/>
        <v>0.73958333333333315</v>
      </c>
      <c r="R54" s="106">
        <f t="shared" si="4"/>
        <v>185</v>
      </c>
      <c r="S54" s="106">
        <f t="shared" si="5"/>
        <v>287</v>
      </c>
      <c r="T54" s="106">
        <f t="shared" si="6"/>
        <v>377</v>
      </c>
      <c r="U54" s="106">
        <f t="shared" si="7"/>
        <v>148</v>
      </c>
      <c r="V54" s="106">
        <f t="shared" si="8"/>
        <v>997</v>
      </c>
    </row>
    <row r="55" spans="1:23" s="83" customFormat="1">
      <c r="A55" s="94">
        <f t="shared" si="9"/>
        <v>0.74999999999999978</v>
      </c>
      <c r="B55" s="99">
        <f t="shared" si="10"/>
        <v>45</v>
      </c>
      <c r="C55" s="43">
        <f t="shared" si="10"/>
        <v>103</v>
      </c>
      <c r="D55" s="43">
        <f t="shared" si="10"/>
        <v>20</v>
      </c>
      <c r="E55" s="99">
        <f t="shared" si="10"/>
        <v>86</v>
      </c>
      <c r="F55" s="43">
        <f t="shared" si="10"/>
        <v>72</v>
      </c>
      <c r="G55" s="43">
        <f t="shared" si="10"/>
        <v>7</v>
      </c>
      <c r="H55" s="99">
        <f t="shared" si="10"/>
        <v>32</v>
      </c>
      <c r="I55" s="43">
        <f t="shared" si="10"/>
        <v>76</v>
      </c>
      <c r="J55" s="43">
        <f t="shared" si="10"/>
        <v>165</v>
      </c>
      <c r="K55" s="99">
        <f t="shared" si="10"/>
        <v>12</v>
      </c>
      <c r="L55" s="43">
        <f t="shared" si="10"/>
        <v>86</v>
      </c>
      <c r="M55" s="43">
        <f t="shared" si="10"/>
        <v>22</v>
      </c>
      <c r="N55" s="97">
        <f t="shared" si="2"/>
        <v>726</v>
      </c>
      <c r="O55" s="84"/>
      <c r="P55" s="84"/>
      <c r="Q55" s="98">
        <f t="shared" si="3"/>
        <v>0.74999999999999978</v>
      </c>
      <c r="R55" s="106">
        <f t="shared" si="4"/>
        <v>168</v>
      </c>
      <c r="S55" s="106">
        <f t="shared" si="5"/>
        <v>165</v>
      </c>
      <c r="T55" s="106">
        <f t="shared" si="6"/>
        <v>273</v>
      </c>
      <c r="U55" s="106">
        <f t="shared" si="7"/>
        <v>120</v>
      </c>
      <c r="V55" s="106">
        <f t="shared" si="8"/>
        <v>726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">
        <v>17</v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0.71874999999999989</v>
      </c>
      <c r="R61" s="106">
        <f>MAX(INDEX(R48:V59,W48,1),INDEX(R48:V59,W49,1),INDEX(R48:V59,W50,1),INDEX(R48:V59,W51,1))</f>
        <v>253</v>
      </c>
      <c r="S61" s="106">
        <f>MAX(INDEX(R48:V59,W48,2),INDEX(R48:V59,W49,2),INDEX(R48:V59,W50,2),INDEX(R48:V59,W51,2))</f>
        <v>287</v>
      </c>
      <c r="T61" s="106">
        <f>MAX(INDEX(R48:V59,W48,3),INDEX(R48:V59,W49,3),INDEX(R48:V59,W50,3),INDEX(R48:V59,W51,3))</f>
        <v>532</v>
      </c>
      <c r="U61" s="106">
        <f>MAX(INDEX(R48:V59,W48,4),INDEX(R48:V59,W49,4),INDEX(R48:V59,W50,4),INDEX(R48:V59,W51,4))</f>
        <v>229</v>
      </c>
      <c r="V61" s="106">
        <f>MAX(INDEX(V48:V59,W48,1),INDEX(V48:V59,W49,1),INDEX(V48:V59,W50,1),INDEX(V48:V59,W51,1))</f>
        <v>1281</v>
      </c>
      <c r="W61" s="83">
        <f>MATCH(V61,V48:V59,0)</f>
        <v>5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0.66666666666666674</v>
      </c>
      <c r="B63" s="99">
        <f t="shared" ref="B63:M63" si="11">IF(B33="","",IF($A$63&lt;&gt;"",SUM(B48:B51),""))</f>
        <v>177</v>
      </c>
      <c r="C63" s="43">
        <f t="shared" si="11"/>
        <v>516</v>
      </c>
      <c r="D63" s="43">
        <f t="shared" si="11"/>
        <v>70</v>
      </c>
      <c r="E63" s="99">
        <f t="shared" si="11"/>
        <v>474</v>
      </c>
      <c r="F63" s="43">
        <f t="shared" si="11"/>
        <v>362</v>
      </c>
      <c r="G63" s="43">
        <f t="shared" si="11"/>
        <v>37</v>
      </c>
      <c r="H63" s="99">
        <f t="shared" si="11"/>
        <v>138</v>
      </c>
      <c r="I63" s="43">
        <f t="shared" si="11"/>
        <v>548</v>
      </c>
      <c r="J63" s="43">
        <f t="shared" si="11"/>
        <v>871</v>
      </c>
      <c r="K63" s="99">
        <f t="shared" si="11"/>
        <v>75</v>
      </c>
      <c r="L63" s="43">
        <f t="shared" si="11"/>
        <v>464</v>
      </c>
      <c r="M63" s="43">
        <f t="shared" si="11"/>
        <v>155</v>
      </c>
      <c r="N63" s="97">
        <f t="shared" ref="N63:N71" si="12">IF(SUM(B63:M63)&lt;=0,"",SUM(B63:M63))</f>
        <v>3887</v>
      </c>
      <c r="O63" s="84"/>
      <c r="P63" s="84"/>
      <c r="Q63" s="98">
        <f t="shared" ref="Q63:Q71" si="13">$A63</f>
        <v>0.66666666666666674</v>
      </c>
      <c r="R63" s="83">
        <f>MAX(N63:N71)</f>
        <v>4348</v>
      </c>
    </row>
    <row r="64" spans="1:23" s="76" customFormat="1">
      <c r="A64" s="94">
        <f t="shared" ref="A64:A71" si="14">IF(A63="","",IF(A52="","",A63+15/1440))</f>
        <v>0.67708333333333337</v>
      </c>
      <c r="B64" s="99">
        <f>IF($A$64="","",IF(B52&lt;&gt;"",SUM(B49:B52),""))</f>
        <v>186</v>
      </c>
      <c r="C64" s="43">
        <f>IF($A$64="","",IF(C52&lt;&gt;"",SUM(C49:C52),""))</f>
        <v>591</v>
      </c>
      <c r="D64" s="43">
        <f t="shared" ref="D64:M64" si="15">IF($A$64="","",IF(D52&lt;&gt;"",SUM(D49:D52),""))</f>
        <v>65</v>
      </c>
      <c r="E64" s="99">
        <f t="shared" si="15"/>
        <v>515</v>
      </c>
      <c r="F64" s="43">
        <f t="shared" si="15"/>
        <v>353</v>
      </c>
      <c r="G64" s="43">
        <f t="shared" si="15"/>
        <v>40</v>
      </c>
      <c r="H64" s="99">
        <f t="shared" si="15"/>
        <v>144</v>
      </c>
      <c r="I64" s="43">
        <f t="shared" si="15"/>
        <v>635</v>
      </c>
      <c r="J64" s="43">
        <f t="shared" si="15"/>
        <v>869</v>
      </c>
      <c r="K64" s="99">
        <f t="shared" si="15"/>
        <v>87</v>
      </c>
      <c r="L64" s="43">
        <f t="shared" si="15"/>
        <v>514</v>
      </c>
      <c r="M64" s="43">
        <f t="shared" si="15"/>
        <v>135</v>
      </c>
      <c r="N64" s="97">
        <f t="shared" si="12"/>
        <v>4134</v>
      </c>
      <c r="O64" s="84"/>
      <c r="P64" s="84"/>
      <c r="Q64" s="98">
        <f t="shared" si="13"/>
        <v>0.67708333333333337</v>
      </c>
      <c r="R64" s="83">
        <f>MATCH(R63,N63:N71,0)</f>
        <v>4</v>
      </c>
      <c r="S64" s="98">
        <f>INDEX(Q63:Q71,R64,1)</f>
        <v>0.69791666666666663</v>
      </c>
      <c r="T64" s="83"/>
    </row>
    <row r="65" spans="1:20" s="83" customFormat="1">
      <c r="A65" s="94">
        <f t="shared" si="14"/>
        <v>0.6875</v>
      </c>
      <c r="B65" s="99">
        <f>IF($A$65="","",IF(B53&lt;&gt;"",SUM(B50:B53),""))</f>
        <v>209</v>
      </c>
      <c r="C65" s="43">
        <f>IF($A$65="","",IF(C53&lt;&gt;"",SUM(C50:C53),""))</f>
        <v>615</v>
      </c>
      <c r="D65" s="43">
        <f t="shared" ref="D65:M65" si="16">IF($A$65="","",IF(D53&lt;&gt;"",SUM(D50:D53),""))</f>
        <v>66</v>
      </c>
      <c r="E65" s="99">
        <f t="shared" si="16"/>
        <v>530</v>
      </c>
      <c r="F65" s="43">
        <f t="shared" si="16"/>
        <v>379</v>
      </c>
      <c r="G65" s="43">
        <f t="shared" si="16"/>
        <v>42</v>
      </c>
      <c r="H65" s="99">
        <f t="shared" si="16"/>
        <v>131</v>
      </c>
      <c r="I65" s="43">
        <f t="shared" si="16"/>
        <v>717</v>
      </c>
      <c r="J65" s="43">
        <f t="shared" si="16"/>
        <v>914</v>
      </c>
      <c r="K65" s="99">
        <f t="shared" si="16"/>
        <v>92</v>
      </c>
      <c r="L65" s="43">
        <f t="shared" si="16"/>
        <v>505</v>
      </c>
      <c r="M65" s="43">
        <f t="shared" si="16"/>
        <v>132</v>
      </c>
      <c r="N65" s="97">
        <f t="shared" si="12"/>
        <v>4332</v>
      </c>
      <c r="O65" s="84"/>
      <c r="P65" s="84"/>
      <c r="Q65" s="98">
        <f t="shared" si="13"/>
        <v>0.6875</v>
      </c>
    </row>
    <row r="66" spans="1:20" s="83" customFormat="1">
      <c r="A66" s="94">
        <f t="shared" si="14"/>
        <v>0.69791666666666663</v>
      </c>
      <c r="B66" s="99">
        <f>IF($A$64="","",IF(B54&lt;&gt;"",SUM(B51:B54),""))</f>
        <v>196</v>
      </c>
      <c r="C66" s="43">
        <f>IF($A$64="","",IF(C54&lt;&gt;"",SUM(C51:C54),""))</f>
        <v>599</v>
      </c>
      <c r="D66" s="43">
        <f t="shared" ref="D66:M66" si="17">IF($A$64="","",IF(D54&lt;&gt;"",SUM(D51:D54),""))</f>
        <v>58</v>
      </c>
      <c r="E66" s="99">
        <f t="shared" si="17"/>
        <v>581</v>
      </c>
      <c r="F66" s="43">
        <f t="shared" si="17"/>
        <v>423</v>
      </c>
      <c r="G66" s="43">
        <f t="shared" si="17"/>
        <v>53</v>
      </c>
      <c r="H66" s="99">
        <f t="shared" si="17"/>
        <v>131</v>
      </c>
      <c r="I66" s="43">
        <f t="shared" si="17"/>
        <v>705</v>
      </c>
      <c r="J66" s="43">
        <f t="shared" si="17"/>
        <v>894</v>
      </c>
      <c r="K66" s="99">
        <f t="shared" si="17"/>
        <v>87</v>
      </c>
      <c r="L66" s="43">
        <f t="shared" si="17"/>
        <v>498</v>
      </c>
      <c r="M66" s="43">
        <f t="shared" si="17"/>
        <v>123</v>
      </c>
      <c r="N66" s="97">
        <f>IF(SUM(B66:M66)&lt;=0,"",SUM(B66:M66))</f>
        <v>4348</v>
      </c>
      <c r="O66" s="84"/>
      <c r="P66" s="84"/>
      <c r="Q66" s="98">
        <f t="shared" si="13"/>
        <v>0.69791666666666663</v>
      </c>
    </row>
    <row r="67" spans="1:20" s="83" customFormat="1">
      <c r="A67" s="94">
        <f t="shared" si="14"/>
        <v>0.70833333333333326</v>
      </c>
      <c r="B67" s="99">
        <f>IF($A$65="","",IF(B55&lt;&gt;"",SUM(B52:B55),""))</f>
        <v>198</v>
      </c>
      <c r="C67" s="43">
        <f>IF($A$65="","",IF(C55&lt;&gt;"",SUM(C52:C55),""))</f>
        <v>574</v>
      </c>
      <c r="D67" s="43">
        <f t="shared" ref="D67:M67" si="18">IF($A$65="","",IF(D55&lt;&gt;"",SUM(D52:D55),""))</f>
        <v>60</v>
      </c>
      <c r="E67" s="99">
        <f t="shared" si="18"/>
        <v>535</v>
      </c>
      <c r="F67" s="43">
        <f t="shared" si="18"/>
        <v>373</v>
      </c>
      <c r="G67" s="43">
        <f t="shared" si="18"/>
        <v>50</v>
      </c>
      <c r="H67" s="99">
        <f t="shared" si="18"/>
        <v>131</v>
      </c>
      <c r="I67" s="43">
        <f t="shared" si="18"/>
        <v>658</v>
      </c>
      <c r="J67" s="43">
        <f t="shared" si="18"/>
        <v>868</v>
      </c>
      <c r="K67" s="99">
        <f t="shared" si="18"/>
        <v>76</v>
      </c>
      <c r="L67" s="43">
        <f t="shared" si="18"/>
        <v>477</v>
      </c>
      <c r="M67" s="43">
        <f t="shared" si="18"/>
        <v>108</v>
      </c>
      <c r="N67" s="97">
        <f>IF(SUM(B67:M67)&lt;=0,"",SUM(B67:M67))</f>
        <v>4108</v>
      </c>
      <c r="O67" s="84"/>
      <c r="P67" s="84"/>
      <c r="Q67" s="98">
        <f t="shared" si="13"/>
        <v>0.70833333333333326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">
        <v>17</v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677</v>
      </c>
      <c r="I76" s="56">
        <f>IF(D33="",0,INDEX($B$63:$M$71,$R$64,3))+IF(E33="",0,INDEX($B$63:$M$71,$R$64,4))+IF(L33="",0,INDEX($B$63:$M$71,$R$64,11))</f>
        <v>1137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853</v>
      </c>
      <c r="F77" s="56">
        <f>IF(E33="",0,INDEX($B$63:$M$71,$R$64,4))+IF(F33="",0,INDEX($B$63:$M$71,$R$64,5))+IF(G33="",0,INDEX($B$63:$M$71,$R$64,6))</f>
        <v>1057</v>
      </c>
      <c r="I77" s="56">
        <f>IF(H33="",0,INDEX($B$63:$M$71,$R$64,7))+IF(I33="",0,INDEX($B$63:$M$71,$R$64,8))+IF(J33="",0,INDEX($B$63:$M$71,$R$64,9))</f>
        <v>1730</v>
      </c>
      <c r="L77" s="56">
        <f>IF(K33="",0,INDEX($B$63:$M$71,$R$64,10))+IF(L33="",0,INDEX($B$63:$M$71,$R$64,11))+IF(M33="",0,INDEX($B$63:$M$71,$R$64,12))</f>
        <v>708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1580</v>
      </c>
      <c r="L78" s="56">
        <f>IF(B33="",0,INDEX($B$63:$M$71,$R$64,1))+IF(G33="",0,INDEX($B$63:$M$71,$R$64,6))+IF(I33="",0,INDEX($B$63:$M$71,$R$64,8))</f>
        <v>954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R124"/>
  <sheetViews>
    <sheetView workbookViewId="0">
      <selection activeCell="C65" sqref="C65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51</v>
      </c>
      <c r="D4" s="8"/>
      <c r="E4" s="8"/>
      <c r="F4" s="8"/>
      <c r="G4" s="8"/>
      <c r="H4" s="8"/>
      <c r="I4" s="9" t="s">
        <v>3</v>
      </c>
      <c r="J4" s="9"/>
      <c r="K4" s="10">
        <v>0.66666666666666663</v>
      </c>
      <c r="L4" s="11" t="s">
        <v>4</v>
      </c>
      <c r="M4" s="12">
        <v>0.75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52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66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0.69791666666666663</v>
      </c>
      <c r="D7" s="39"/>
      <c r="E7" s="40" t="s">
        <v>4</v>
      </c>
      <c r="F7" s="38">
        <f>C7+60/1440</f>
        <v>0.73958333333333326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0.72916666666666652</v>
      </c>
      <c r="D8" s="39"/>
      <c r="E8" s="40" t="s">
        <v>4</v>
      </c>
      <c r="F8" s="38">
        <f>Q61</f>
        <v>0.73958333333333315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Longley</v>
      </c>
      <c r="E9" s="44"/>
      <c r="F9" s="45"/>
      <c r="G9" s="39"/>
      <c r="H9" s="37"/>
      <c r="I9" s="37"/>
      <c r="J9" s="46" t="s">
        <v>11</v>
      </c>
      <c r="K9" s="47" t="e">
        <f>IF(L29="N/A","N/A",L77/(U61*4))</f>
        <v>#DIV/0!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 t="str">
        <f>IF(L29="N/A","N/A",IF(C29="N/A","N/A",INDEX($B$63:$M$71,$R$64,12)))</f>
        <v/>
      </c>
      <c r="D11" s="50">
        <f>IF(L29="N/A","N/A",IF(I29="N/A","N/A",INDEX($B$63:$M$71,$R$64,11)))</f>
        <v>0</v>
      </c>
      <c r="E11" s="51" t="str">
        <f>IF(L29="N/A","N/A",IF(F29="N/A","N/A",INDEX($B$63:$M$71,$R$64,10)))</f>
        <v/>
      </c>
      <c r="F11" s="37"/>
      <c r="G11" s="37"/>
      <c r="H11" s="37"/>
      <c r="I11" s="15"/>
      <c r="J11" s="52">
        <f>IF(L29="N/A","N/A",L77)</f>
        <v>0</v>
      </c>
      <c r="K11" s="52">
        <f>IF(L29="N/A","N/A",L78)</f>
        <v>1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S. McCarran</v>
      </c>
      <c r="C12" s="37"/>
      <c r="D12" s="37"/>
      <c r="E12" s="37"/>
      <c r="F12" s="37"/>
      <c r="G12" s="37"/>
      <c r="H12" s="54" t="s">
        <v>11</v>
      </c>
      <c r="I12" s="55" t="e">
        <f>IF(C29="N/A","N/A",C77/(R61*4))</f>
        <v>#DIV/0!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 t="str">
        <f>IF(C29="N/A","N/A",IF(L29="N/A","N/A",INDEX($B$63:$M$71,$R$64,1)))</f>
        <v/>
      </c>
      <c r="C15" s="37"/>
      <c r="D15" s="37"/>
      <c r="E15" s="37"/>
      <c r="F15" s="56" t="str">
        <f>IF(F29="N/A","N/A",IF(L29="N/A","N/A",INDEX($B$63:$M$71,$R$64,6)))</f>
        <v/>
      </c>
      <c r="G15" s="37"/>
      <c r="H15" s="57">
        <f>IF(C29="N/A","N/A",C76)</f>
        <v>0</v>
      </c>
      <c r="I15" s="37"/>
      <c r="J15" s="37"/>
      <c r="K15" s="37"/>
      <c r="L15" s="15"/>
      <c r="M15" s="58">
        <f>IF(F29="N/A","N/A",F77)</f>
        <v>0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0</v>
      </c>
      <c r="C17" s="37"/>
      <c r="D17" s="37"/>
      <c r="E17" s="37"/>
      <c r="F17" s="61">
        <f>IF(F29="N/A","N/A",IF(C29="N/A","N/A",INDEX($B$63:$M$71,$R$64,5)))</f>
        <v>0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1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 t="str">
        <f>IF(C29="N/A","N/A",IF(I29="N/A","N/A",INDEX($B$63:$M$71,$R$64,3)))</f>
        <v/>
      </c>
      <c r="C19" s="37"/>
      <c r="D19" s="37"/>
      <c r="E19" s="37"/>
      <c r="F19" s="56" t="str">
        <f>IF(F29="N/A","N/A",IF(I29="N/A","N/A",INDEX($B$63:$M$71,$R$64,4)))</f>
        <v/>
      </c>
      <c r="G19" s="37"/>
      <c r="H19" s="57">
        <f>IF(C29="N/A","N/A",C77)</f>
        <v>0</v>
      </c>
      <c r="I19" s="37"/>
      <c r="J19" s="37"/>
      <c r="K19" s="37"/>
      <c r="L19" s="15"/>
      <c r="M19" s="58">
        <f>IF(F29="N/A","N/A",F78)</f>
        <v>0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S. McCarran</v>
      </c>
      <c r="G22" s="37"/>
      <c r="H22" s="37"/>
      <c r="I22" s="37"/>
      <c r="J22" s="37"/>
      <c r="K22" s="37"/>
      <c r="L22" s="54" t="s">
        <v>11</v>
      </c>
      <c r="M22" s="55" t="e">
        <f>IF(F29="N/A","N/A",F77/(S61*4))</f>
        <v>#DIV/0!</v>
      </c>
      <c r="N22" s="62"/>
      <c r="Q22" s="42"/>
      <c r="R22" s="42"/>
    </row>
    <row r="23" spans="1:28" ht="30" customHeight="1">
      <c r="A23" s="48"/>
      <c r="B23" s="37"/>
      <c r="C23" s="49" t="str">
        <f>IF(I29="N/A","N/A",IF(C29="N/A","N/A",INDEX($B$63:$M$71,$R$64,7)))</f>
        <v/>
      </c>
      <c r="D23" s="50">
        <f>IF(I29="N/A","N/A",IF(L29="N/A","N/A",INDEX($B$63:$M$71,$R$64,8)))</f>
        <v>1</v>
      </c>
      <c r="E23" s="51" t="str">
        <f>IF(I29="N/A","N/A",IF(F29="N/A","N/A",INDEX($B$63:$M$71,$R$64,9)))</f>
        <v/>
      </c>
      <c r="F23" s="15"/>
      <c r="G23" s="65"/>
      <c r="H23" s="37"/>
      <c r="I23" s="37"/>
      <c r="J23" s="66">
        <f>IF(I29="N/A","N/A",I76)</f>
        <v>0</v>
      </c>
      <c r="K23" s="66">
        <f>IF(I29="N/A","N/A",I77)</f>
        <v>1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Longley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0.25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0.25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53</v>
      </c>
      <c r="D29" s="73"/>
      <c r="E29" s="71"/>
      <c r="F29" s="72" t="s">
        <v>53</v>
      </c>
      <c r="G29" s="73"/>
      <c r="H29" s="71"/>
      <c r="I29" s="72" t="s">
        <v>54</v>
      </c>
      <c r="J29" s="73"/>
      <c r="K29" s="71"/>
      <c r="L29" s="72" t="s">
        <v>54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0.67708333333333337</v>
      </c>
      <c r="B33" s="95"/>
      <c r="C33" s="96">
        <v>0</v>
      </c>
      <c r="D33" s="96"/>
      <c r="E33" s="95"/>
      <c r="F33" s="96">
        <v>0</v>
      </c>
      <c r="G33" s="96"/>
      <c r="H33" s="95"/>
      <c r="I33" s="96">
        <v>0</v>
      </c>
      <c r="J33" s="96"/>
      <c r="K33" s="95"/>
      <c r="L33" s="96">
        <v>0</v>
      </c>
      <c r="M33" s="96"/>
      <c r="N33" s="97" t="str">
        <f t="shared" ref="N33:N40" si="0">IF(SUM(B33:M33)&lt;=0,"",SUM(B33:M33))</f>
        <v/>
      </c>
      <c r="O33" s="84"/>
      <c r="P33" s="84"/>
      <c r="Q33" s="98"/>
    </row>
    <row r="34" spans="1:28" s="83" customFormat="1">
      <c r="A34" s="94">
        <v>0.6875</v>
      </c>
      <c r="B34" s="95"/>
      <c r="C34" s="96">
        <v>0</v>
      </c>
      <c r="D34" s="96"/>
      <c r="E34" s="95"/>
      <c r="F34" s="96">
        <v>0</v>
      </c>
      <c r="G34" s="96"/>
      <c r="H34" s="95"/>
      <c r="I34" s="96">
        <v>0</v>
      </c>
      <c r="J34" s="96"/>
      <c r="K34" s="95"/>
      <c r="L34" s="96">
        <v>0</v>
      </c>
      <c r="M34" s="96"/>
      <c r="N34" s="97" t="str">
        <f t="shared" si="0"/>
        <v/>
      </c>
      <c r="O34" s="84"/>
      <c r="P34" s="84"/>
      <c r="Q34" s="98"/>
    </row>
    <row r="35" spans="1:28" s="83" customFormat="1">
      <c r="A35" s="94">
        <v>0.69791666666666663</v>
      </c>
      <c r="B35" s="95"/>
      <c r="C35" s="96">
        <v>0</v>
      </c>
      <c r="D35" s="96"/>
      <c r="E35" s="95"/>
      <c r="F35" s="96">
        <v>0</v>
      </c>
      <c r="G35" s="96"/>
      <c r="H35" s="95"/>
      <c r="I35" s="96">
        <v>0</v>
      </c>
      <c r="J35" s="96"/>
      <c r="K35" s="95"/>
      <c r="L35" s="96">
        <v>0</v>
      </c>
      <c r="M35" s="96"/>
      <c r="N35" s="97" t="str">
        <f t="shared" si="0"/>
        <v/>
      </c>
      <c r="O35" s="84"/>
      <c r="P35" s="84"/>
      <c r="Q35" s="98"/>
    </row>
    <row r="36" spans="1:28" s="76" customFormat="1">
      <c r="A36" s="94">
        <v>0.70833333333333304</v>
      </c>
      <c r="B36" s="95"/>
      <c r="C36" s="96">
        <v>0</v>
      </c>
      <c r="D36" s="96"/>
      <c r="E36" s="95"/>
      <c r="F36" s="96">
        <v>0</v>
      </c>
      <c r="G36" s="96"/>
      <c r="H36" s="95"/>
      <c r="I36" s="96">
        <v>0</v>
      </c>
      <c r="J36" s="96"/>
      <c r="K36" s="95"/>
      <c r="L36" s="96">
        <v>0</v>
      </c>
      <c r="M36" s="96"/>
      <c r="N36" s="97" t="str">
        <f t="shared" si="0"/>
        <v/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0.71875</v>
      </c>
      <c r="B37" s="95"/>
      <c r="C37" s="96">
        <v>0</v>
      </c>
      <c r="D37" s="96"/>
      <c r="E37" s="95"/>
      <c r="F37" s="96">
        <v>0</v>
      </c>
      <c r="G37" s="96"/>
      <c r="H37" s="95"/>
      <c r="I37" s="96">
        <v>0</v>
      </c>
      <c r="J37" s="96"/>
      <c r="K37" s="95"/>
      <c r="L37" s="96">
        <v>0</v>
      </c>
      <c r="M37" s="96"/>
      <c r="N37" s="97" t="str">
        <f t="shared" si="0"/>
        <v/>
      </c>
      <c r="O37" s="84"/>
      <c r="P37" s="84"/>
      <c r="Q37" s="98"/>
    </row>
    <row r="38" spans="1:28" s="83" customFormat="1">
      <c r="A38" s="94">
        <v>0.72916666666666696</v>
      </c>
      <c r="B38" s="95"/>
      <c r="C38" s="96">
        <v>0</v>
      </c>
      <c r="D38" s="96"/>
      <c r="E38" s="95"/>
      <c r="F38" s="96">
        <v>0</v>
      </c>
      <c r="G38" s="96"/>
      <c r="H38" s="95"/>
      <c r="I38" s="96">
        <v>0</v>
      </c>
      <c r="J38" s="96"/>
      <c r="K38" s="95"/>
      <c r="L38" s="96">
        <v>0</v>
      </c>
      <c r="M38" s="96"/>
      <c r="N38" s="97" t="str">
        <f t="shared" si="0"/>
        <v/>
      </c>
      <c r="O38" s="84"/>
      <c r="P38" s="84"/>
      <c r="Q38" s="98"/>
    </row>
    <row r="39" spans="1:28" s="83" customFormat="1">
      <c r="A39" s="94">
        <v>0.73958333333333304</v>
      </c>
      <c r="B39" s="95"/>
      <c r="C39" s="96">
        <v>0</v>
      </c>
      <c r="D39" s="96"/>
      <c r="E39" s="95"/>
      <c r="F39" s="96">
        <v>0</v>
      </c>
      <c r="G39" s="96"/>
      <c r="H39" s="95"/>
      <c r="I39" s="96">
        <v>1</v>
      </c>
      <c r="J39" s="96"/>
      <c r="K39" s="95"/>
      <c r="L39" s="96">
        <v>0</v>
      </c>
      <c r="M39" s="96"/>
      <c r="N39" s="97">
        <f t="shared" si="0"/>
        <v>1</v>
      </c>
      <c r="O39" s="84"/>
      <c r="P39" s="84"/>
      <c r="Q39" s="98" t="s">
        <v>17</v>
      </c>
    </row>
    <row r="40" spans="1:28" s="83" customFormat="1">
      <c r="A40" s="94">
        <v>0.75</v>
      </c>
      <c r="B40" s="95"/>
      <c r="C40" s="96">
        <v>0</v>
      </c>
      <c r="D40" s="96"/>
      <c r="E40" s="95"/>
      <c r="F40" s="96">
        <v>0</v>
      </c>
      <c r="G40" s="96"/>
      <c r="H40" s="95"/>
      <c r="I40" s="96">
        <v>1</v>
      </c>
      <c r="J40" s="96"/>
      <c r="K40" s="95"/>
      <c r="L40" s="96">
        <v>0</v>
      </c>
      <c r="M40" s="96"/>
      <c r="N40" s="97">
        <f t="shared" si="0"/>
        <v>1</v>
      </c>
      <c r="O40" s="84"/>
      <c r="P40" s="84"/>
      <c r="Q40" s="98"/>
    </row>
    <row r="41" spans="1:28" s="83" customFormat="1">
      <c r="A41" s="94"/>
      <c r="B41" s="99"/>
      <c r="C41" s="43" t="s">
        <v>17</v>
      </c>
      <c r="D41" s="43"/>
      <c r="E41" s="99"/>
      <c r="F41" s="43"/>
      <c r="G41" s="43"/>
      <c r="H41" s="99"/>
      <c r="I41" s="43"/>
      <c r="J41" s="43"/>
      <c r="K41" s="99"/>
      <c r="L41" s="43"/>
      <c r="M41" s="43"/>
      <c r="N41" s="97"/>
      <c r="O41" s="84"/>
      <c r="P41" s="84"/>
      <c r="Q41" s="98"/>
    </row>
    <row r="42" spans="1:28" s="83" customFormat="1">
      <c r="A42" s="94"/>
      <c r="B42" s="99"/>
      <c r="C42" s="43"/>
      <c r="D42" s="43"/>
      <c r="E42" s="99"/>
      <c r="F42" s="43"/>
      <c r="G42" s="43"/>
      <c r="H42" s="99"/>
      <c r="I42" s="43"/>
      <c r="J42" s="43"/>
      <c r="K42" s="99"/>
      <c r="L42" s="43"/>
      <c r="M42" s="43"/>
      <c r="N42" s="97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0.66666666666666674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0.67708333333333337</v>
      </c>
      <c r="B48" s="99" t="str">
        <f>IF(B33="","",B33)</f>
        <v/>
      </c>
      <c r="C48" s="43">
        <f>IF(C33="","",C33)</f>
        <v>0</v>
      </c>
      <c r="D48" s="43" t="str">
        <f>IF(D33="","",D33)</f>
        <v/>
      </c>
      <c r="E48" s="99" t="str">
        <f t="shared" ref="E48:M48" si="1">IF(E33="","",E33)</f>
        <v/>
      </c>
      <c r="F48" s="43">
        <f t="shared" si="1"/>
        <v>0</v>
      </c>
      <c r="G48" s="43" t="str">
        <f t="shared" si="1"/>
        <v/>
      </c>
      <c r="H48" s="99" t="str">
        <f t="shared" si="1"/>
        <v/>
      </c>
      <c r="I48" s="43">
        <f t="shared" si="1"/>
        <v>0</v>
      </c>
      <c r="J48" s="43" t="str">
        <f t="shared" si="1"/>
        <v/>
      </c>
      <c r="K48" s="99" t="str">
        <f t="shared" si="1"/>
        <v/>
      </c>
      <c r="L48" s="43">
        <f t="shared" si="1"/>
        <v>0</v>
      </c>
      <c r="M48" s="43" t="str">
        <f t="shared" si="1"/>
        <v/>
      </c>
      <c r="N48" s="97" t="str">
        <f t="shared" ref="N48:N58" si="2">IF(SUM(B48:M48)&lt;=0,"",SUM(B48:M48))</f>
        <v/>
      </c>
      <c r="O48" s="84"/>
      <c r="P48" s="84"/>
      <c r="Q48" s="98">
        <f t="shared" ref="Q48:Q59" si="3">$A48</f>
        <v>0.67708333333333337</v>
      </c>
      <c r="R48" s="106">
        <f t="shared" ref="R48:R59" si="4">SUM(B48:D48)</f>
        <v>0</v>
      </c>
      <c r="S48" s="106">
        <f t="shared" ref="S48:S59" si="5">SUM(E48:G48)</f>
        <v>0</v>
      </c>
      <c r="T48" s="106">
        <f t="shared" ref="T48:T59" si="6">SUM(H48:J48)</f>
        <v>0</v>
      </c>
      <c r="U48" s="106">
        <f t="shared" ref="U48:U59" si="7">SUM(K48:M48)</f>
        <v>0</v>
      </c>
      <c r="V48" s="106">
        <f t="shared" ref="V48:V59" si="8">SUM(R48:U48)</f>
        <v>0</v>
      </c>
      <c r="W48" s="107">
        <f>MATCH(S64,Q47:Q59,0)</f>
        <v>4</v>
      </c>
    </row>
    <row r="49" spans="1:23" s="83" customFormat="1">
      <c r="A49" s="94">
        <f t="shared" ref="A49:A59" si="9">IF(A34="","",A48+15/1440)</f>
        <v>0.6875</v>
      </c>
      <c r="B49" s="99" t="str">
        <f t="shared" ref="B49:M59" si="10">IF(B34="","",B34-B33)</f>
        <v/>
      </c>
      <c r="C49" s="43">
        <f t="shared" si="10"/>
        <v>0</v>
      </c>
      <c r="D49" s="43" t="str">
        <f t="shared" si="10"/>
        <v/>
      </c>
      <c r="E49" s="99" t="str">
        <f t="shared" si="10"/>
        <v/>
      </c>
      <c r="F49" s="43">
        <f t="shared" si="10"/>
        <v>0</v>
      </c>
      <c r="G49" s="43" t="str">
        <f t="shared" si="10"/>
        <v/>
      </c>
      <c r="H49" s="99" t="str">
        <f t="shared" si="10"/>
        <v/>
      </c>
      <c r="I49" s="43">
        <f t="shared" si="10"/>
        <v>0</v>
      </c>
      <c r="J49" s="43" t="str">
        <f t="shared" si="10"/>
        <v/>
      </c>
      <c r="K49" s="99" t="str">
        <f t="shared" si="10"/>
        <v/>
      </c>
      <c r="L49" s="43">
        <f t="shared" si="10"/>
        <v>0</v>
      </c>
      <c r="M49" s="43" t="str">
        <f t="shared" si="10"/>
        <v/>
      </c>
      <c r="N49" s="97" t="str">
        <f t="shared" si="2"/>
        <v/>
      </c>
      <c r="O49" s="84"/>
      <c r="P49" s="84"/>
      <c r="Q49" s="98">
        <f t="shared" si="3"/>
        <v>0.6875</v>
      </c>
      <c r="R49" s="106">
        <f t="shared" si="4"/>
        <v>0</v>
      </c>
      <c r="S49" s="106">
        <f t="shared" si="5"/>
        <v>0</v>
      </c>
      <c r="T49" s="106">
        <f t="shared" si="6"/>
        <v>0</v>
      </c>
      <c r="U49" s="106">
        <f t="shared" si="7"/>
        <v>0</v>
      </c>
      <c r="V49" s="106">
        <f t="shared" si="8"/>
        <v>0</v>
      </c>
      <c r="W49" s="107">
        <f>W48+1</f>
        <v>5</v>
      </c>
    </row>
    <row r="50" spans="1:23" s="83" customFormat="1">
      <c r="A50" s="94">
        <f t="shared" si="9"/>
        <v>0.69791666666666663</v>
      </c>
      <c r="B50" s="99" t="str">
        <f t="shared" si="10"/>
        <v/>
      </c>
      <c r="C50" s="43">
        <f t="shared" si="10"/>
        <v>0</v>
      </c>
      <c r="D50" s="43" t="str">
        <f t="shared" si="10"/>
        <v/>
      </c>
      <c r="E50" s="99" t="str">
        <f t="shared" si="10"/>
        <v/>
      </c>
      <c r="F50" s="43">
        <f t="shared" si="10"/>
        <v>0</v>
      </c>
      <c r="G50" s="43" t="str">
        <f t="shared" si="10"/>
        <v/>
      </c>
      <c r="H50" s="99" t="str">
        <f t="shared" si="10"/>
        <v/>
      </c>
      <c r="I50" s="43">
        <f t="shared" si="10"/>
        <v>0</v>
      </c>
      <c r="J50" s="43" t="str">
        <f t="shared" si="10"/>
        <v/>
      </c>
      <c r="K50" s="99" t="str">
        <f t="shared" si="10"/>
        <v/>
      </c>
      <c r="L50" s="43">
        <f t="shared" si="10"/>
        <v>0</v>
      </c>
      <c r="M50" s="43" t="str">
        <f t="shared" si="10"/>
        <v/>
      </c>
      <c r="N50" s="97" t="str">
        <f t="shared" si="2"/>
        <v/>
      </c>
      <c r="O50" s="84"/>
      <c r="P50" s="84"/>
      <c r="Q50" s="98">
        <f t="shared" si="3"/>
        <v>0.69791666666666663</v>
      </c>
      <c r="R50" s="106">
        <f t="shared" si="4"/>
        <v>0</v>
      </c>
      <c r="S50" s="106">
        <f t="shared" si="5"/>
        <v>0</v>
      </c>
      <c r="T50" s="106">
        <f t="shared" si="6"/>
        <v>0</v>
      </c>
      <c r="U50" s="106">
        <f t="shared" si="7"/>
        <v>0</v>
      </c>
      <c r="V50" s="106">
        <f t="shared" si="8"/>
        <v>0</v>
      </c>
      <c r="W50" s="107">
        <f>W49+1</f>
        <v>6</v>
      </c>
    </row>
    <row r="51" spans="1:23" s="83" customFormat="1">
      <c r="A51" s="94">
        <f t="shared" si="9"/>
        <v>0.70833333333333326</v>
      </c>
      <c r="B51" s="99" t="str">
        <f t="shared" si="10"/>
        <v/>
      </c>
      <c r="C51" s="43">
        <f t="shared" si="10"/>
        <v>0</v>
      </c>
      <c r="D51" s="43" t="str">
        <f t="shared" si="10"/>
        <v/>
      </c>
      <c r="E51" s="99" t="str">
        <f t="shared" si="10"/>
        <v/>
      </c>
      <c r="F51" s="43">
        <f t="shared" si="10"/>
        <v>0</v>
      </c>
      <c r="G51" s="43" t="str">
        <f t="shared" si="10"/>
        <v/>
      </c>
      <c r="H51" s="99" t="str">
        <f t="shared" si="10"/>
        <v/>
      </c>
      <c r="I51" s="43">
        <f t="shared" si="10"/>
        <v>0</v>
      </c>
      <c r="J51" s="43" t="str">
        <f t="shared" si="10"/>
        <v/>
      </c>
      <c r="K51" s="99" t="str">
        <f t="shared" si="10"/>
        <v/>
      </c>
      <c r="L51" s="43">
        <f t="shared" si="10"/>
        <v>0</v>
      </c>
      <c r="M51" s="43" t="str">
        <f t="shared" si="10"/>
        <v/>
      </c>
      <c r="N51" s="97" t="str">
        <f t="shared" si="2"/>
        <v/>
      </c>
      <c r="O51" s="84"/>
      <c r="P51" s="84"/>
      <c r="Q51" s="98">
        <f t="shared" si="3"/>
        <v>0.70833333333333326</v>
      </c>
      <c r="R51" s="106">
        <f t="shared" si="4"/>
        <v>0</v>
      </c>
      <c r="S51" s="106">
        <f t="shared" si="5"/>
        <v>0</v>
      </c>
      <c r="T51" s="106">
        <f t="shared" si="6"/>
        <v>0</v>
      </c>
      <c r="U51" s="106">
        <f t="shared" si="7"/>
        <v>0</v>
      </c>
      <c r="V51" s="106">
        <f t="shared" si="8"/>
        <v>0</v>
      </c>
      <c r="W51" s="107">
        <f>W50+1</f>
        <v>7</v>
      </c>
    </row>
    <row r="52" spans="1:23" s="83" customFormat="1">
      <c r="A52" s="94">
        <f t="shared" si="9"/>
        <v>0.71874999999999989</v>
      </c>
      <c r="B52" s="99" t="str">
        <f t="shared" si="10"/>
        <v/>
      </c>
      <c r="C52" s="43">
        <f t="shared" si="10"/>
        <v>0</v>
      </c>
      <c r="D52" s="43" t="str">
        <f t="shared" si="10"/>
        <v/>
      </c>
      <c r="E52" s="99" t="str">
        <f t="shared" si="10"/>
        <v/>
      </c>
      <c r="F52" s="43">
        <f t="shared" si="10"/>
        <v>0</v>
      </c>
      <c r="G52" s="43" t="str">
        <f t="shared" si="10"/>
        <v/>
      </c>
      <c r="H52" s="99" t="str">
        <f t="shared" si="10"/>
        <v/>
      </c>
      <c r="I52" s="43">
        <f t="shared" si="10"/>
        <v>0</v>
      </c>
      <c r="J52" s="43" t="str">
        <f t="shared" si="10"/>
        <v/>
      </c>
      <c r="K52" s="99" t="str">
        <f t="shared" si="10"/>
        <v/>
      </c>
      <c r="L52" s="43">
        <f t="shared" si="10"/>
        <v>0</v>
      </c>
      <c r="M52" s="43" t="str">
        <f t="shared" si="10"/>
        <v/>
      </c>
      <c r="N52" s="97" t="str">
        <f t="shared" si="2"/>
        <v/>
      </c>
      <c r="O52" s="84"/>
      <c r="P52" s="84"/>
      <c r="Q52" s="98">
        <f t="shared" si="3"/>
        <v>0.71874999999999989</v>
      </c>
      <c r="R52" s="106">
        <f t="shared" si="4"/>
        <v>0</v>
      </c>
      <c r="S52" s="106">
        <f t="shared" si="5"/>
        <v>0</v>
      </c>
      <c r="T52" s="106">
        <f t="shared" si="6"/>
        <v>0</v>
      </c>
      <c r="U52" s="106">
        <f t="shared" si="7"/>
        <v>0</v>
      </c>
      <c r="V52" s="106">
        <f t="shared" si="8"/>
        <v>0</v>
      </c>
    </row>
    <row r="53" spans="1:23" s="83" customFormat="1">
      <c r="A53" s="94">
        <f t="shared" si="9"/>
        <v>0.72916666666666652</v>
      </c>
      <c r="B53" s="99" t="str">
        <f t="shared" si="10"/>
        <v/>
      </c>
      <c r="C53" s="43">
        <f t="shared" si="10"/>
        <v>0</v>
      </c>
      <c r="D53" s="43" t="str">
        <f t="shared" si="10"/>
        <v/>
      </c>
      <c r="E53" s="99" t="str">
        <f t="shared" si="10"/>
        <v/>
      </c>
      <c r="F53" s="43">
        <f t="shared" si="10"/>
        <v>0</v>
      </c>
      <c r="G53" s="43" t="str">
        <f t="shared" si="10"/>
        <v/>
      </c>
      <c r="H53" s="99" t="str">
        <f t="shared" si="10"/>
        <v/>
      </c>
      <c r="I53" s="43">
        <f t="shared" si="10"/>
        <v>0</v>
      </c>
      <c r="J53" s="43" t="str">
        <f t="shared" si="10"/>
        <v/>
      </c>
      <c r="K53" s="99" t="str">
        <f t="shared" si="10"/>
        <v/>
      </c>
      <c r="L53" s="43">
        <f t="shared" si="10"/>
        <v>0</v>
      </c>
      <c r="M53" s="43" t="str">
        <f t="shared" si="10"/>
        <v/>
      </c>
      <c r="N53" s="97" t="str">
        <f t="shared" si="2"/>
        <v/>
      </c>
      <c r="O53" s="84"/>
      <c r="P53" s="84"/>
      <c r="Q53" s="98">
        <f t="shared" si="3"/>
        <v>0.72916666666666652</v>
      </c>
      <c r="R53" s="106">
        <f t="shared" si="4"/>
        <v>0</v>
      </c>
      <c r="S53" s="106">
        <f t="shared" si="5"/>
        <v>0</v>
      </c>
      <c r="T53" s="106">
        <f t="shared" si="6"/>
        <v>0</v>
      </c>
      <c r="U53" s="106">
        <f t="shared" si="7"/>
        <v>0</v>
      </c>
      <c r="V53" s="106">
        <f t="shared" si="8"/>
        <v>0</v>
      </c>
    </row>
    <row r="54" spans="1:23" s="83" customFormat="1">
      <c r="A54" s="94">
        <f t="shared" si="9"/>
        <v>0.73958333333333315</v>
      </c>
      <c r="B54" s="99" t="str">
        <f t="shared" si="10"/>
        <v/>
      </c>
      <c r="C54" s="43">
        <f t="shared" si="10"/>
        <v>0</v>
      </c>
      <c r="D54" s="43" t="str">
        <f t="shared" si="10"/>
        <v/>
      </c>
      <c r="E54" s="99" t="str">
        <f t="shared" si="10"/>
        <v/>
      </c>
      <c r="F54" s="43">
        <f t="shared" si="10"/>
        <v>0</v>
      </c>
      <c r="G54" s="43" t="str">
        <f t="shared" si="10"/>
        <v/>
      </c>
      <c r="H54" s="99" t="str">
        <f t="shared" si="10"/>
        <v/>
      </c>
      <c r="I54" s="43">
        <f t="shared" si="10"/>
        <v>1</v>
      </c>
      <c r="J54" s="43" t="str">
        <f t="shared" si="10"/>
        <v/>
      </c>
      <c r="K54" s="99" t="str">
        <f t="shared" si="10"/>
        <v/>
      </c>
      <c r="L54" s="43">
        <f t="shared" si="10"/>
        <v>0</v>
      </c>
      <c r="M54" s="43" t="str">
        <f t="shared" si="10"/>
        <v/>
      </c>
      <c r="N54" s="97">
        <f t="shared" si="2"/>
        <v>1</v>
      </c>
      <c r="O54" s="84"/>
      <c r="P54" s="84"/>
      <c r="Q54" s="98">
        <f t="shared" si="3"/>
        <v>0.73958333333333315</v>
      </c>
      <c r="R54" s="106">
        <f t="shared" si="4"/>
        <v>0</v>
      </c>
      <c r="S54" s="106">
        <f t="shared" si="5"/>
        <v>0</v>
      </c>
      <c r="T54" s="106">
        <f t="shared" si="6"/>
        <v>1</v>
      </c>
      <c r="U54" s="106">
        <f t="shared" si="7"/>
        <v>0</v>
      </c>
      <c r="V54" s="106">
        <f t="shared" si="8"/>
        <v>1</v>
      </c>
    </row>
    <row r="55" spans="1:23" s="83" customFormat="1">
      <c r="A55" s="94">
        <f t="shared" si="9"/>
        <v>0.74999999999999978</v>
      </c>
      <c r="B55" s="99" t="str">
        <f t="shared" si="10"/>
        <v/>
      </c>
      <c r="C55" s="43">
        <f t="shared" si="10"/>
        <v>0</v>
      </c>
      <c r="D55" s="43" t="str">
        <f t="shared" si="10"/>
        <v/>
      </c>
      <c r="E55" s="99" t="str">
        <f t="shared" si="10"/>
        <v/>
      </c>
      <c r="F55" s="43">
        <f t="shared" si="10"/>
        <v>0</v>
      </c>
      <c r="G55" s="43" t="str">
        <f t="shared" si="10"/>
        <v/>
      </c>
      <c r="H55" s="99" t="str">
        <f t="shared" si="10"/>
        <v/>
      </c>
      <c r="I55" s="43">
        <f t="shared" si="10"/>
        <v>0</v>
      </c>
      <c r="J55" s="43" t="str">
        <f t="shared" si="10"/>
        <v/>
      </c>
      <c r="K55" s="99" t="str">
        <f t="shared" si="10"/>
        <v/>
      </c>
      <c r="L55" s="43">
        <f t="shared" si="10"/>
        <v>0</v>
      </c>
      <c r="M55" s="43" t="str">
        <f t="shared" si="10"/>
        <v/>
      </c>
      <c r="N55" s="97" t="str">
        <f t="shared" si="2"/>
        <v/>
      </c>
      <c r="O55" s="84"/>
      <c r="P55" s="84"/>
      <c r="Q55" s="98">
        <f t="shared" si="3"/>
        <v>0.74999999999999978</v>
      </c>
      <c r="R55" s="106">
        <f t="shared" si="4"/>
        <v>0</v>
      </c>
      <c r="S55" s="106">
        <f t="shared" si="5"/>
        <v>0</v>
      </c>
      <c r="T55" s="106">
        <f t="shared" si="6"/>
        <v>0</v>
      </c>
      <c r="U55" s="106">
        <f t="shared" si="7"/>
        <v>0</v>
      </c>
      <c r="V55" s="106">
        <f t="shared" si="8"/>
        <v>0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">
        <v>17</v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0.73958333333333315</v>
      </c>
      <c r="R61" s="106">
        <f>MAX(INDEX(R48:V59,W48,1),INDEX(R48:V59,W49,1),INDEX(R48:V59,W50,1),INDEX(R48:V59,W51,1))</f>
        <v>0</v>
      </c>
      <c r="S61" s="106">
        <f>MAX(INDEX(R48:V59,W48,2),INDEX(R48:V59,W49,2),INDEX(R48:V59,W50,2),INDEX(R48:V59,W51,2))</f>
        <v>0</v>
      </c>
      <c r="T61" s="106">
        <f>MAX(INDEX(R48:V59,W48,3),INDEX(R48:V59,W49,3),INDEX(R48:V59,W50,3),INDEX(R48:V59,W51,3))</f>
        <v>1</v>
      </c>
      <c r="U61" s="106">
        <f>MAX(INDEX(R48:V59,W48,4),INDEX(R48:V59,W49,4),INDEX(R48:V59,W50,4),INDEX(R48:V59,W51,4))</f>
        <v>0</v>
      </c>
      <c r="V61" s="106">
        <f>MAX(INDEX(V48:V59,W48,1),INDEX(V48:V59,W49,1),INDEX(V48:V59,W50,1),INDEX(V48:V59,W51,1))</f>
        <v>1</v>
      </c>
      <c r="W61" s="83">
        <f>MATCH(V61,V48:V59,0)</f>
        <v>7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0.66666666666666674</v>
      </c>
      <c r="B63" s="99" t="str">
        <f t="shared" ref="B63:M63" si="11">IF(B33="","",IF($A$63&lt;&gt;"",SUM(B48:B51),""))</f>
        <v/>
      </c>
      <c r="C63" s="43">
        <f t="shared" si="11"/>
        <v>0</v>
      </c>
      <c r="D63" s="43" t="str">
        <f t="shared" si="11"/>
        <v/>
      </c>
      <c r="E63" s="99" t="str">
        <f t="shared" si="11"/>
        <v/>
      </c>
      <c r="F63" s="43">
        <f t="shared" si="11"/>
        <v>0</v>
      </c>
      <c r="G63" s="43" t="str">
        <f t="shared" si="11"/>
        <v/>
      </c>
      <c r="H63" s="99" t="str">
        <f t="shared" si="11"/>
        <v/>
      </c>
      <c r="I63" s="43">
        <f t="shared" si="11"/>
        <v>0</v>
      </c>
      <c r="J63" s="43" t="str">
        <f t="shared" si="11"/>
        <v/>
      </c>
      <c r="K63" s="99" t="str">
        <f t="shared" si="11"/>
        <v/>
      </c>
      <c r="L63" s="43">
        <f t="shared" si="11"/>
        <v>0</v>
      </c>
      <c r="M63" s="43" t="str">
        <f t="shared" si="11"/>
        <v/>
      </c>
      <c r="N63" s="97" t="str">
        <f t="shared" ref="N63:N71" si="12">IF(SUM(B63:M63)&lt;=0,"",SUM(B63:M63))</f>
        <v/>
      </c>
      <c r="O63" s="84"/>
      <c r="P63" s="84"/>
      <c r="Q63" s="98">
        <f t="shared" ref="Q63:Q71" si="13">$A63</f>
        <v>0.66666666666666674</v>
      </c>
      <c r="R63" s="83">
        <f>MAX(N63:N71)</f>
        <v>1</v>
      </c>
    </row>
    <row r="64" spans="1:23" s="76" customFormat="1">
      <c r="A64" s="94">
        <f t="shared" ref="A64:A71" si="14">IF(A63="","",IF(A52="","",A63+15/1440))</f>
        <v>0.67708333333333337</v>
      </c>
      <c r="B64" s="99" t="str">
        <f>IF($A$64="","",IF(B52&lt;&gt;"",SUM(B49:B52),""))</f>
        <v/>
      </c>
      <c r="C64" s="43">
        <f>IF($A$64="","",IF(C52&lt;&gt;"",SUM(C49:C52),""))</f>
        <v>0</v>
      </c>
      <c r="D64" s="43" t="str">
        <f t="shared" ref="D64:M64" si="15">IF($A$64="","",IF(D52&lt;&gt;"",SUM(D49:D52),""))</f>
        <v/>
      </c>
      <c r="E64" s="99" t="str">
        <f t="shared" si="15"/>
        <v/>
      </c>
      <c r="F64" s="43">
        <f t="shared" si="15"/>
        <v>0</v>
      </c>
      <c r="G64" s="43" t="str">
        <f t="shared" si="15"/>
        <v/>
      </c>
      <c r="H64" s="99" t="str">
        <f t="shared" si="15"/>
        <v/>
      </c>
      <c r="I64" s="43">
        <f t="shared" si="15"/>
        <v>0</v>
      </c>
      <c r="J64" s="43" t="str">
        <f t="shared" si="15"/>
        <v/>
      </c>
      <c r="K64" s="99" t="str">
        <f t="shared" si="15"/>
        <v/>
      </c>
      <c r="L64" s="43">
        <f t="shared" si="15"/>
        <v>0</v>
      </c>
      <c r="M64" s="43" t="str">
        <f t="shared" si="15"/>
        <v/>
      </c>
      <c r="N64" s="97" t="str">
        <f t="shared" si="12"/>
        <v/>
      </c>
      <c r="O64" s="84"/>
      <c r="P64" s="84"/>
      <c r="Q64" s="98">
        <f t="shared" si="13"/>
        <v>0.67708333333333337</v>
      </c>
      <c r="R64" s="83">
        <f>MATCH(R63,N63:N71,0)</f>
        <v>4</v>
      </c>
      <c r="S64" s="98">
        <f>INDEX(Q63:Q71,R64,1)</f>
        <v>0.69791666666666663</v>
      </c>
      <c r="T64" s="83"/>
    </row>
    <row r="65" spans="1:20" s="83" customFormat="1">
      <c r="A65" s="94">
        <f t="shared" si="14"/>
        <v>0.6875</v>
      </c>
      <c r="B65" s="99" t="str">
        <f>IF($A$65="","",IF(B53&lt;&gt;"",SUM(B50:B53),""))</f>
        <v/>
      </c>
      <c r="C65" s="43">
        <f>IF($A$65="","",IF(C53&lt;&gt;"",SUM(C50:C53),""))</f>
        <v>0</v>
      </c>
      <c r="D65" s="43" t="str">
        <f t="shared" ref="D65:M65" si="16">IF($A$65="","",IF(D53&lt;&gt;"",SUM(D50:D53),""))</f>
        <v/>
      </c>
      <c r="E65" s="99" t="str">
        <f t="shared" si="16"/>
        <v/>
      </c>
      <c r="F65" s="43">
        <f t="shared" si="16"/>
        <v>0</v>
      </c>
      <c r="G65" s="43" t="str">
        <f t="shared" si="16"/>
        <v/>
      </c>
      <c r="H65" s="99" t="str">
        <f t="shared" si="16"/>
        <v/>
      </c>
      <c r="I65" s="43">
        <f t="shared" si="16"/>
        <v>0</v>
      </c>
      <c r="J65" s="43" t="str">
        <f t="shared" si="16"/>
        <v/>
      </c>
      <c r="K65" s="99" t="str">
        <f t="shared" si="16"/>
        <v/>
      </c>
      <c r="L65" s="43">
        <f t="shared" si="16"/>
        <v>0</v>
      </c>
      <c r="M65" s="43" t="str">
        <f t="shared" si="16"/>
        <v/>
      </c>
      <c r="N65" s="97" t="str">
        <f t="shared" si="12"/>
        <v/>
      </c>
      <c r="O65" s="84"/>
      <c r="P65" s="84"/>
      <c r="Q65" s="98">
        <f t="shared" si="13"/>
        <v>0.6875</v>
      </c>
    </row>
    <row r="66" spans="1:20" s="83" customFormat="1">
      <c r="A66" s="94">
        <f t="shared" si="14"/>
        <v>0.69791666666666663</v>
      </c>
      <c r="B66" s="99" t="str">
        <f>IF($A$64="","",IF(B54&lt;&gt;"",SUM(B51:B54),""))</f>
        <v/>
      </c>
      <c r="C66" s="43">
        <f>IF($A$64="","",IF(C54&lt;&gt;"",SUM(C51:C54),""))</f>
        <v>0</v>
      </c>
      <c r="D66" s="43" t="str">
        <f t="shared" ref="D66:M66" si="17">IF($A$64="","",IF(D54&lt;&gt;"",SUM(D51:D54),""))</f>
        <v/>
      </c>
      <c r="E66" s="99" t="str">
        <f t="shared" si="17"/>
        <v/>
      </c>
      <c r="F66" s="43">
        <f t="shared" si="17"/>
        <v>0</v>
      </c>
      <c r="G66" s="43" t="str">
        <f t="shared" si="17"/>
        <v/>
      </c>
      <c r="H66" s="99" t="str">
        <f t="shared" si="17"/>
        <v/>
      </c>
      <c r="I66" s="43">
        <f t="shared" si="17"/>
        <v>1</v>
      </c>
      <c r="J66" s="43" t="str">
        <f t="shared" si="17"/>
        <v/>
      </c>
      <c r="K66" s="99" t="str">
        <f t="shared" si="17"/>
        <v/>
      </c>
      <c r="L66" s="43">
        <f t="shared" si="17"/>
        <v>0</v>
      </c>
      <c r="M66" s="43" t="str">
        <f t="shared" si="17"/>
        <v/>
      </c>
      <c r="N66" s="97">
        <f>IF(SUM(B66:M66)&lt;=0,"",SUM(B66:M66))</f>
        <v>1</v>
      </c>
      <c r="O66" s="84"/>
      <c r="P66" s="84"/>
      <c r="Q66" s="98">
        <f t="shared" si="13"/>
        <v>0.69791666666666663</v>
      </c>
    </row>
    <row r="67" spans="1:20" s="83" customFormat="1">
      <c r="A67" s="94">
        <f t="shared" si="14"/>
        <v>0.70833333333333326</v>
      </c>
      <c r="B67" s="99" t="str">
        <f>IF($A$65="","",IF(B55&lt;&gt;"",SUM(B52:B55),""))</f>
        <v/>
      </c>
      <c r="C67" s="43">
        <f>IF($A$65="","",IF(C55&lt;&gt;"",SUM(C52:C55),""))</f>
        <v>0</v>
      </c>
      <c r="D67" s="43" t="str">
        <f t="shared" ref="D67:M67" si="18">IF($A$65="","",IF(D55&lt;&gt;"",SUM(D52:D55),""))</f>
        <v/>
      </c>
      <c r="E67" s="99" t="str">
        <f t="shared" si="18"/>
        <v/>
      </c>
      <c r="F67" s="43">
        <f t="shared" si="18"/>
        <v>0</v>
      </c>
      <c r="G67" s="43" t="str">
        <f t="shared" si="18"/>
        <v/>
      </c>
      <c r="H67" s="99" t="str">
        <f t="shared" si="18"/>
        <v/>
      </c>
      <c r="I67" s="43">
        <f t="shared" si="18"/>
        <v>1</v>
      </c>
      <c r="J67" s="43" t="str">
        <f t="shared" si="18"/>
        <v/>
      </c>
      <c r="K67" s="99" t="str">
        <f t="shared" si="18"/>
        <v/>
      </c>
      <c r="L67" s="43">
        <f t="shared" si="18"/>
        <v>0</v>
      </c>
      <c r="M67" s="43" t="str">
        <f t="shared" si="18"/>
        <v/>
      </c>
      <c r="N67" s="97">
        <f>IF(SUM(B67:M67)&lt;=0,"",SUM(B67:M67))</f>
        <v>1</v>
      </c>
      <c r="O67" s="84"/>
      <c r="P67" s="84"/>
      <c r="Q67" s="98">
        <f t="shared" si="13"/>
        <v>0.70833333333333326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/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0</v>
      </c>
      <c r="I76" s="56">
        <f>IF(D33="",0,INDEX($B$63:$M$71,$R$64,3))+IF(E33="",0,INDEX($B$63:$M$71,$R$64,4))+IF(L33="",0,INDEX($B$63:$M$71,$R$64,11))</f>
        <v>0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0</v>
      </c>
      <c r="F77" s="56">
        <f>IF(E33="",0,INDEX($B$63:$M$71,$R$64,4))+IF(F33="",0,INDEX($B$63:$M$71,$R$64,5))+IF(G33="",0,INDEX($B$63:$M$71,$R$64,6))</f>
        <v>0</v>
      </c>
      <c r="I77" s="56">
        <f>IF(H33="",0,INDEX($B$63:$M$71,$R$64,7))+IF(I33="",0,INDEX($B$63:$M$71,$R$64,8))+IF(J33="",0,INDEX($B$63:$M$71,$R$64,9))</f>
        <v>1</v>
      </c>
      <c r="L77" s="56">
        <f>IF(K33="",0,INDEX($B$63:$M$71,$R$64,10))+IF(L33="",0,INDEX($B$63:$M$71,$R$64,11))+IF(M33="",0,INDEX($B$63:$M$71,$R$64,12))</f>
        <v>0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0</v>
      </c>
      <c r="L78" s="56">
        <f>IF(B33="",0,INDEX($B$63:$M$71,$R$64,1))+IF(G33="",0,INDEX($B$63:$M$71,$R$64,6))+IF(I33="",0,INDEX($B$63:$M$71,$R$64,8))</f>
        <v>1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vehicles</vt:lpstr>
      <vt:lpstr>peds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Matt</cp:lastModifiedBy>
  <dcterms:created xsi:type="dcterms:W3CDTF">2010-12-11T03:40:56Z</dcterms:created>
  <dcterms:modified xsi:type="dcterms:W3CDTF">2011-01-31T00:09:12Z</dcterms:modified>
</cp:coreProperties>
</file>