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480" yWindow="75" windowWidth="15480" windowHeight="9720"/>
  </bookViews>
  <sheets>
    <sheet name="vehicles" sheetId="1" r:id="rId1"/>
    <sheet name="peds" sheetId="2" r:id="rId2"/>
  </sheets>
  <calcPr calcId="125725"/>
</workbook>
</file>

<file path=xl/calcChain.xml><?xml version="1.0" encoding="utf-8"?>
<calcChain xmlns="http://schemas.openxmlformats.org/spreadsheetml/2006/main">
  <c r="M63" i="2"/>
  <c r="K63"/>
  <c r="H63"/>
  <c r="G63"/>
  <c r="E63"/>
  <c r="D63"/>
  <c r="B63"/>
  <c r="A63"/>
  <c r="M59"/>
  <c r="L59"/>
  <c r="K59"/>
  <c r="U59" s="1"/>
  <c r="J59"/>
  <c r="I59"/>
  <c r="H59"/>
  <c r="T59" s="1"/>
  <c r="G59"/>
  <c r="F59"/>
  <c r="E59"/>
  <c r="S59" s="1"/>
  <c r="D59"/>
  <c r="C59"/>
  <c r="B59"/>
  <c r="R59" s="1"/>
  <c r="V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V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S49" s="1"/>
  <c r="D49"/>
  <c r="C49"/>
  <c r="B49"/>
  <c r="M48"/>
  <c r="L48"/>
  <c r="L63" s="1"/>
  <c r="K48"/>
  <c r="J48"/>
  <c r="J63" s="1"/>
  <c r="I48"/>
  <c r="I63" s="1"/>
  <c r="H48"/>
  <c r="G48"/>
  <c r="F48"/>
  <c r="E48"/>
  <c r="S48" s="1"/>
  <c r="D48"/>
  <c r="C48"/>
  <c r="C63" s="1"/>
  <c r="B48"/>
  <c r="A48"/>
  <c r="Q48" s="1"/>
  <c r="Q47" s="1"/>
  <c r="N40"/>
  <c r="N39"/>
  <c r="N38"/>
  <c r="N37"/>
  <c r="N36"/>
  <c r="N35"/>
  <c r="N34"/>
  <c r="N33"/>
  <c r="D25"/>
  <c r="F22"/>
  <c r="B12"/>
  <c r="D9"/>
  <c r="F63" l="1"/>
  <c r="S56"/>
  <c r="S55"/>
  <c r="S54"/>
  <c r="S53"/>
  <c r="S52"/>
  <c r="S50"/>
  <c r="S51"/>
  <c r="R55"/>
  <c r="R54"/>
  <c r="R53"/>
  <c r="R52"/>
  <c r="R51"/>
  <c r="R50"/>
  <c r="R48"/>
  <c r="R49"/>
  <c r="U48"/>
  <c r="U49"/>
  <c r="U50"/>
  <c r="U51"/>
  <c r="U52"/>
  <c r="U53"/>
  <c r="U54"/>
  <c r="U55"/>
  <c r="U56"/>
  <c r="T55"/>
  <c r="T53"/>
  <c r="T52"/>
  <c r="T51"/>
  <c r="T50"/>
  <c r="T48"/>
  <c r="T49"/>
  <c r="V49" s="1"/>
  <c r="N63"/>
  <c r="N48"/>
  <c r="A49"/>
  <c r="N50"/>
  <c r="N52"/>
  <c r="N53"/>
  <c r="T54"/>
  <c r="N54"/>
  <c r="N49"/>
  <c r="N51"/>
  <c r="N56"/>
  <c r="R56"/>
  <c r="T56"/>
  <c r="N57"/>
  <c r="N58"/>
  <c r="R58"/>
  <c r="V58" s="1"/>
  <c r="T58"/>
  <c r="N59"/>
  <c r="Q63"/>
  <c r="E68"/>
  <c r="N68" s="1"/>
  <c r="K68"/>
  <c r="E70"/>
  <c r="N70" s="1"/>
  <c r="K70"/>
  <c r="N55"/>
  <c r="A63" i="1"/>
  <c r="M59"/>
  <c r="L59"/>
  <c r="K59"/>
  <c r="U59" s="1"/>
  <c r="J59"/>
  <c r="I59"/>
  <c r="H59"/>
  <c r="T59" s="1"/>
  <c r="G59"/>
  <c r="F59"/>
  <c r="E59"/>
  <c r="S59" s="1"/>
  <c r="D59"/>
  <c r="C59"/>
  <c r="B59"/>
  <c r="R59" s="1"/>
  <c r="A59"/>
  <c r="Q59" s="1"/>
  <c r="M58"/>
  <c r="M70" s="1"/>
  <c r="L58"/>
  <c r="L70" s="1"/>
  <c r="K58"/>
  <c r="U58" s="1"/>
  <c r="J58"/>
  <c r="J70" s="1"/>
  <c r="I58"/>
  <c r="I70" s="1"/>
  <c r="H58"/>
  <c r="H70" s="1"/>
  <c r="G58"/>
  <c r="G70" s="1"/>
  <c r="F58"/>
  <c r="F70" s="1"/>
  <c r="E58"/>
  <c r="S58" s="1"/>
  <c r="D58"/>
  <c r="D70" s="1"/>
  <c r="C58"/>
  <c r="C70" s="1"/>
  <c r="B58"/>
  <c r="B70" s="1"/>
  <c r="A58"/>
  <c r="Q58" s="1"/>
  <c r="M57"/>
  <c r="L57"/>
  <c r="K57"/>
  <c r="U57" s="1"/>
  <c r="J57"/>
  <c r="I57"/>
  <c r="H57"/>
  <c r="T57" s="1"/>
  <c r="G57"/>
  <c r="F57"/>
  <c r="E57"/>
  <c r="S57" s="1"/>
  <c r="D57"/>
  <c r="C57"/>
  <c r="B57"/>
  <c r="R57" s="1"/>
  <c r="A57"/>
  <c r="Q57" s="1"/>
  <c r="M56"/>
  <c r="M68" s="1"/>
  <c r="L56"/>
  <c r="L68" s="1"/>
  <c r="K56"/>
  <c r="J56"/>
  <c r="J68" s="1"/>
  <c r="I56"/>
  <c r="I68" s="1"/>
  <c r="H56"/>
  <c r="H68" s="1"/>
  <c r="G56"/>
  <c r="G68" s="1"/>
  <c r="F56"/>
  <c r="F68" s="1"/>
  <c r="E56"/>
  <c r="D56"/>
  <c r="D68" s="1"/>
  <c r="B56"/>
  <c r="B68" s="1"/>
  <c r="A56"/>
  <c r="Q56" s="1"/>
  <c r="M55"/>
  <c r="L55"/>
  <c r="K55"/>
  <c r="J55"/>
  <c r="I55"/>
  <c r="H55"/>
  <c r="G55"/>
  <c r="F55"/>
  <c r="E55"/>
  <c r="D55"/>
  <c r="C55"/>
  <c r="B55"/>
  <c r="M54"/>
  <c r="L54"/>
  <c r="K54"/>
  <c r="J54"/>
  <c r="I54"/>
  <c r="H54"/>
  <c r="G54"/>
  <c r="F54"/>
  <c r="E54"/>
  <c r="D54"/>
  <c r="C54"/>
  <c r="B54"/>
  <c r="M53"/>
  <c r="L53"/>
  <c r="K53"/>
  <c r="J53"/>
  <c r="I53"/>
  <c r="H53"/>
  <c r="G53"/>
  <c r="F53"/>
  <c r="E53"/>
  <c r="D53"/>
  <c r="C53"/>
  <c r="B53"/>
  <c r="M52"/>
  <c r="L52"/>
  <c r="K52"/>
  <c r="J52"/>
  <c r="I52"/>
  <c r="H52"/>
  <c r="G52"/>
  <c r="F52"/>
  <c r="E52"/>
  <c r="D52"/>
  <c r="C52"/>
  <c r="B52"/>
  <c r="M51"/>
  <c r="L51"/>
  <c r="K51"/>
  <c r="J51"/>
  <c r="I51"/>
  <c r="H51"/>
  <c r="G51"/>
  <c r="F51"/>
  <c r="E51"/>
  <c r="D51"/>
  <c r="C51"/>
  <c r="B51"/>
  <c r="M50"/>
  <c r="L50"/>
  <c r="K50"/>
  <c r="J50"/>
  <c r="I50"/>
  <c r="H50"/>
  <c r="G50"/>
  <c r="F50"/>
  <c r="E50"/>
  <c r="D50"/>
  <c r="C50"/>
  <c r="B50"/>
  <c r="M49"/>
  <c r="L49"/>
  <c r="K49"/>
  <c r="J49"/>
  <c r="I49"/>
  <c r="H49"/>
  <c r="G49"/>
  <c r="F49"/>
  <c r="E49"/>
  <c r="D49"/>
  <c r="C49"/>
  <c r="B49"/>
  <c r="M48"/>
  <c r="L48"/>
  <c r="K48"/>
  <c r="J48"/>
  <c r="J63" s="1"/>
  <c r="I48"/>
  <c r="H48"/>
  <c r="H63" s="1"/>
  <c r="G48"/>
  <c r="G63" s="1"/>
  <c r="F48"/>
  <c r="E48"/>
  <c r="D48"/>
  <c r="C48"/>
  <c r="B48"/>
  <c r="B63" s="1"/>
  <c r="A48"/>
  <c r="Q48" s="1"/>
  <c r="Q47" s="1"/>
  <c r="N40"/>
  <c r="N39"/>
  <c r="N38"/>
  <c r="N37"/>
  <c r="N36"/>
  <c r="N35"/>
  <c r="N34"/>
  <c r="N33"/>
  <c r="D25"/>
  <c r="F22"/>
  <c r="B12"/>
  <c r="D9"/>
  <c r="V53" i="2" l="1"/>
  <c r="V51"/>
  <c r="V55"/>
  <c r="V54"/>
  <c r="V52"/>
  <c r="V48"/>
  <c r="V50"/>
  <c r="V56"/>
  <c r="A50"/>
  <c r="Q49"/>
  <c r="U55" i="1"/>
  <c r="U54"/>
  <c r="U53"/>
  <c r="T48"/>
  <c r="A49"/>
  <c r="A50" s="1"/>
  <c r="Q50" s="1"/>
  <c r="S54"/>
  <c r="S55"/>
  <c r="S53"/>
  <c r="S52"/>
  <c r="S51"/>
  <c r="S50"/>
  <c r="S49"/>
  <c r="E63"/>
  <c r="D63"/>
  <c r="R48"/>
  <c r="M63"/>
  <c r="U52"/>
  <c r="U51"/>
  <c r="U50"/>
  <c r="U49"/>
  <c r="K63"/>
  <c r="S48"/>
  <c r="U48"/>
  <c r="R49"/>
  <c r="T49"/>
  <c r="R50"/>
  <c r="T50"/>
  <c r="R51"/>
  <c r="T51"/>
  <c r="R52"/>
  <c r="T52"/>
  <c r="R53"/>
  <c r="T53"/>
  <c r="R54"/>
  <c r="T54"/>
  <c r="R55"/>
  <c r="T55"/>
  <c r="N48"/>
  <c r="N50"/>
  <c r="N52"/>
  <c r="N53"/>
  <c r="N54"/>
  <c r="N55"/>
  <c r="N56"/>
  <c r="T56"/>
  <c r="N49"/>
  <c r="N51"/>
  <c r="S56"/>
  <c r="E68"/>
  <c r="U56"/>
  <c r="K68"/>
  <c r="R56"/>
  <c r="V57"/>
  <c r="V59"/>
  <c r="L63"/>
  <c r="N57"/>
  <c r="N58"/>
  <c r="R58"/>
  <c r="V58" s="1"/>
  <c r="T58"/>
  <c r="N59"/>
  <c r="C63"/>
  <c r="I63"/>
  <c r="Q63"/>
  <c r="E70"/>
  <c r="K70"/>
  <c r="F63"/>
  <c r="Q50" i="2" l="1"/>
  <c r="A51"/>
  <c r="V56" i="1"/>
  <c r="V49"/>
  <c r="V55"/>
  <c r="V51"/>
  <c r="V53"/>
  <c r="V54"/>
  <c r="Q49"/>
  <c r="A51"/>
  <c r="V48"/>
  <c r="V52"/>
  <c r="V50"/>
  <c r="N70"/>
  <c r="N63"/>
  <c r="N68"/>
  <c r="A52"/>
  <c r="Q51"/>
  <c r="A52" i="2" l="1"/>
  <c r="Q51"/>
  <c r="A53" i="1"/>
  <c r="Q52"/>
  <c r="A64"/>
  <c r="A53" i="2" l="1"/>
  <c r="Q52"/>
  <c r="A64"/>
  <c r="L66" i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L66" i="2" l="1"/>
  <c r="J66"/>
  <c r="H66"/>
  <c r="F66"/>
  <c r="D66"/>
  <c r="B66"/>
  <c r="A65"/>
  <c r="L64"/>
  <c r="J64"/>
  <c r="H64"/>
  <c r="F64"/>
  <c r="D64"/>
  <c r="B64"/>
  <c r="M66"/>
  <c r="K66"/>
  <c r="I66"/>
  <c r="G66"/>
  <c r="E66"/>
  <c r="C66"/>
  <c r="Q64"/>
  <c r="M64"/>
  <c r="K64"/>
  <c r="I64"/>
  <c r="G64"/>
  <c r="E64"/>
  <c r="C64"/>
  <c r="A54"/>
  <c r="Q53"/>
  <c r="A55" i="1"/>
  <c r="Q55" s="1"/>
  <c r="Q54"/>
  <c r="M67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N64"/>
  <c r="M67" i="2" l="1"/>
  <c r="K67"/>
  <c r="I67"/>
  <c r="G67"/>
  <c r="E67"/>
  <c r="C67"/>
  <c r="Q65"/>
  <c r="M65"/>
  <c r="K65"/>
  <c r="I65"/>
  <c r="G65"/>
  <c r="E65"/>
  <c r="C65"/>
  <c r="L67"/>
  <c r="J67"/>
  <c r="H67"/>
  <c r="F67"/>
  <c r="D67"/>
  <c r="B67"/>
  <c r="A66"/>
  <c r="L65"/>
  <c r="J65"/>
  <c r="H65"/>
  <c r="F65"/>
  <c r="D65"/>
  <c r="B65"/>
  <c r="N66"/>
  <c r="A55"/>
  <c r="Q55" s="1"/>
  <c r="Q54"/>
  <c r="N64"/>
  <c r="N67" i="1"/>
  <c r="N65"/>
  <c r="A67"/>
  <c r="Q66"/>
  <c r="N67" i="2" l="1"/>
  <c r="N65"/>
  <c r="A67"/>
  <c r="Q66"/>
  <c r="Q67" i="1"/>
  <c r="A68"/>
  <c r="Q67" i="2" l="1"/>
  <c r="A68"/>
  <c r="A69" i="1"/>
  <c r="Q68"/>
  <c r="A69" i="2" l="1"/>
  <c r="Q68"/>
  <c r="Q69" i="1"/>
  <c r="A70"/>
  <c r="Q69" i="2" l="1"/>
  <c r="A70"/>
  <c r="A71" i="1"/>
  <c r="Q70"/>
  <c r="A71" i="2" l="1"/>
  <c r="Q70"/>
  <c r="Q71" i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Q71" i="2" l="1"/>
  <c r="M71"/>
  <c r="K71"/>
  <c r="I71"/>
  <c r="G71"/>
  <c r="E71"/>
  <c r="C71"/>
  <c r="M69"/>
  <c r="K69"/>
  <c r="I69"/>
  <c r="G69"/>
  <c r="E69"/>
  <c r="C69"/>
  <c r="L71"/>
  <c r="J71"/>
  <c r="H71"/>
  <c r="F71"/>
  <c r="D71"/>
  <c r="B71"/>
  <c r="L69"/>
  <c r="J69"/>
  <c r="H69"/>
  <c r="F69"/>
  <c r="D69"/>
  <c r="B69"/>
  <c r="N69" i="1"/>
  <c r="N71"/>
  <c r="N71" i="2" l="1"/>
  <c r="N69"/>
  <c r="R63" i="1"/>
  <c r="R64" s="1"/>
  <c r="R63" i="2" l="1"/>
  <c r="R64" s="1"/>
  <c r="D18" i="1"/>
  <c r="L78"/>
  <c r="K11" s="1"/>
  <c r="L77"/>
  <c r="F77"/>
  <c r="I76"/>
  <c r="J23" s="1"/>
  <c r="F78"/>
  <c r="M19" s="1"/>
  <c r="I77"/>
  <c r="C77"/>
  <c r="C76"/>
  <c r="H15" s="1"/>
  <c r="S64"/>
  <c r="D23"/>
  <c r="F19"/>
  <c r="B17"/>
  <c r="B15"/>
  <c r="D11"/>
  <c r="E23"/>
  <c r="F17"/>
  <c r="F15"/>
  <c r="C11"/>
  <c r="C23"/>
  <c r="B19"/>
  <c r="E11"/>
  <c r="F77" i="2" l="1"/>
  <c r="M15" s="1"/>
  <c r="C76"/>
  <c r="H15" s="1"/>
  <c r="S64"/>
  <c r="C77"/>
  <c r="H19" s="1"/>
  <c r="F15"/>
  <c r="E23"/>
  <c r="F19"/>
  <c r="C11"/>
  <c r="B19"/>
  <c r="B15"/>
  <c r="F78"/>
  <c r="M19" s="1"/>
  <c r="L77"/>
  <c r="J11" s="1"/>
  <c r="I76"/>
  <c r="J23" s="1"/>
  <c r="E11"/>
  <c r="F17"/>
  <c r="C23"/>
  <c r="D11"/>
  <c r="B17"/>
  <c r="D23"/>
  <c r="I77"/>
  <c r="K23" s="1"/>
  <c r="D18"/>
  <c r="L78"/>
  <c r="K11" s="1"/>
  <c r="W48"/>
  <c r="C7"/>
  <c r="F7" s="1"/>
  <c r="K23" i="1"/>
  <c r="J11"/>
  <c r="W48"/>
  <c r="C7"/>
  <c r="F7" s="1"/>
  <c r="H19"/>
  <c r="M15"/>
  <c r="W49" i="2" l="1"/>
  <c r="W50" s="1"/>
  <c r="W51" s="1"/>
  <c r="W49" i="1"/>
  <c r="W50" s="1"/>
  <c r="W51" s="1"/>
  <c r="R61" i="2" l="1"/>
  <c r="I12" s="1"/>
  <c r="U61"/>
  <c r="K9" s="1"/>
  <c r="V61"/>
  <c r="W61" s="1"/>
  <c r="Q61" s="1"/>
  <c r="F8" s="1"/>
  <c r="C8" s="1"/>
  <c r="T61"/>
  <c r="K25" s="1"/>
  <c r="S61"/>
  <c r="M22" s="1"/>
  <c r="U61" i="1"/>
  <c r="K9" s="1"/>
  <c r="R61"/>
  <c r="I12" s="1"/>
  <c r="V61"/>
  <c r="W61" s="1"/>
  <c r="Q61" s="1"/>
  <c r="F8" s="1"/>
  <c r="C8" s="1"/>
  <c r="T61"/>
  <c r="K25" s="1"/>
  <c r="S61"/>
  <c r="M22" s="1"/>
  <c r="C28" i="2" l="1"/>
  <c r="C28" i="1"/>
</calcChain>
</file>

<file path=xl/sharedStrings.xml><?xml version="1.0" encoding="utf-8"?>
<sst xmlns="http://schemas.openxmlformats.org/spreadsheetml/2006/main" count="211" uniqueCount="55">
  <si>
    <t>Sierra Traffic Data Service</t>
  </si>
  <si>
    <t>INTERSECTION TURNING MOVEMENT SUMMARY</t>
  </si>
  <si>
    <t>INTERSECTION:</t>
  </si>
  <si>
    <t>TIME:</t>
  </si>
  <si>
    <t>to</t>
  </si>
  <si>
    <t>JURISDICTION:</t>
  </si>
  <si>
    <t>DATE:</t>
  </si>
  <si>
    <t>PROJECT  TITLE:</t>
  </si>
  <si>
    <t>PROJECT NO:</t>
  </si>
  <si>
    <t>PEAK HOUR PERIOD:</t>
  </si>
  <si>
    <t>PEAK 15 MINUTE PERIOD:</t>
  </si>
  <si>
    <t>PHF =</t>
  </si>
  <si>
    <t>TOTAL</t>
  </si>
  <si>
    <t>N</t>
  </si>
  <si>
    <t>INTERSECTION</t>
  </si>
  <si>
    <t>.</t>
  </si>
  <si>
    <t>PEAK HOUR FACTOR:</t>
  </si>
  <si>
    <t xml:space="preserve"> </t>
  </si>
  <si>
    <t>Eastbound</t>
  </si>
  <si>
    <t>Westbound</t>
  </si>
  <si>
    <t>Northbound</t>
  </si>
  <si>
    <t>Southbound</t>
  </si>
  <si>
    <t>RUNNING COUNTS</t>
  </si>
  <si>
    <t>Left</t>
  </si>
  <si>
    <t>Thru</t>
  </si>
  <si>
    <t>Right</t>
  </si>
  <si>
    <t>Period End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</si>
  <si>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</si>
  <si>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</si>
  <si>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</si>
  <si>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</si>
  <si>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</si>
  <si>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</si>
  <si>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</si>
  <si>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</si>
  <si>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</si>
  <si>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</si>
  <si>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</si>
  <si>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</si>
  <si>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PERIOD COUNTS</t>
  </si>
  <si>
    <t>sum 15 min pk</t>
  </si>
  <si>
    <t>EB</t>
  </si>
  <si>
    <t>WB</t>
  </si>
  <si>
    <t>NB</t>
  </si>
  <si>
    <t>SB</t>
  </si>
  <si>
    <t>Total</t>
  </si>
  <si>
    <t>HOURLY TOTALS</t>
  </si>
  <si>
    <t>Beginning At</t>
  </si>
  <si>
    <t>Hr Peak</t>
  </si>
  <si>
    <t>Depart</t>
  </si>
  <si>
    <t>Arrival</t>
  </si>
  <si>
    <t>Mill &amp; US 395 N</t>
  </si>
  <si>
    <t>Tue 3/22/11</t>
  </si>
  <si>
    <t>Mill</t>
  </si>
  <si>
    <t>US 395 N</t>
  </si>
</sst>
</file>

<file path=xl/styles.xml><?xml version="1.0" encoding="utf-8"?>
<styleSheet xmlns="http://schemas.openxmlformats.org/spreadsheetml/2006/main">
  <numFmts count="1">
    <numFmt numFmtId="164" formatCode="m\-d\-yy\,\ ddd"/>
  </numFmts>
  <fonts count="13">
    <font>
      <sz val="11"/>
      <color theme="1"/>
      <name val="Calibri"/>
      <family val="2"/>
      <scheme val="minor"/>
    </font>
    <font>
      <b/>
      <i/>
      <sz val="16"/>
      <name val="Geneva"/>
    </font>
    <font>
      <sz val="12"/>
      <name val="Tms Rmn"/>
    </font>
    <font>
      <b/>
      <i/>
      <sz val="16"/>
      <name val="Tms Rmn"/>
    </font>
    <font>
      <b/>
      <sz val="18"/>
      <name val="Tms Rmn"/>
    </font>
    <font>
      <b/>
      <sz val="12"/>
      <name val="Tms Rmn"/>
    </font>
    <font>
      <b/>
      <sz val="10"/>
      <name val="Tms Rmn"/>
    </font>
    <font>
      <sz val="10"/>
      <name val="Tms Rmn"/>
    </font>
    <font>
      <b/>
      <sz val="18"/>
      <color indexed="11"/>
      <name val="Tms Rmn"/>
    </font>
    <font>
      <b/>
      <sz val="12"/>
      <name val="Geneva"/>
    </font>
    <font>
      <b/>
      <u/>
      <sz val="12"/>
      <name val="Tms Rmn"/>
    </font>
    <font>
      <b/>
      <u/>
      <sz val="10"/>
      <name val="Tms Rmn"/>
    </font>
    <font>
      <b/>
      <sz val="14"/>
      <name val="Tms Rmn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15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</borders>
  <cellStyleXfs count="2">
    <xf numFmtId="0" fontId="0" fillId="0" borderId="0"/>
    <xf numFmtId="0" fontId="2" fillId="0" borderId="0"/>
  </cellStyleXfs>
  <cellXfs count="119">
    <xf numFmtId="0" fontId="0" fillId="0" borderId="0" xfId="0"/>
    <xf numFmtId="0" fontId="1" fillId="0" borderId="0" xfId="0" applyFont="1"/>
    <xf numFmtId="0" fontId="3" fillId="0" borderId="0" xfId="1" applyFont="1" applyProtection="1"/>
    <xf numFmtId="0" fontId="4" fillId="0" borderId="0" xfId="1" applyFont="1" applyAlignment="1" applyProtection="1">
      <alignment horizontal="centerContinuous"/>
    </xf>
    <xf numFmtId="0" fontId="2" fillId="0" borderId="0" xfId="1" applyAlignment="1" applyProtection="1">
      <alignment horizontal="centerContinuous"/>
    </xf>
    <xf numFmtId="0" fontId="2" fillId="0" borderId="0" xfId="1" applyProtection="1"/>
    <xf numFmtId="0" fontId="5" fillId="2" borderId="1" xfId="1" applyFont="1" applyFill="1" applyBorder="1" applyProtection="1"/>
    <xf numFmtId="0" fontId="5" fillId="2" borderId="2" xfId="1" applyFont="1" applyFill="1" applyBorder="1" applyAlignment="1" applyProtection="1">
      <alignment horizontal="left"/>
      <protection locked="0"/>
    </xf>
    <xf numFmtId="0" fontId="2" fillId="2" borderId="2" xfId="1" applyFill="1" applyBorder="1" applyProtection="1"/>
    <xf numFmtId="0" fontId="5" fillId="2" borderId="2" xfId="1" applyFont="1" applyFill="1" applyBorder="1" applyAlignment="1" applyProtection="1">
      <alignment horizontal="left"/>
    </xf>
    <xf numFmtId="18" fontId="6" fillId="2" borderId="2" xfId="1" applyNumberFormat="1" applyFont="1" applyFill="1" applyBorder="1" applyAlignment="1" applyProtection="1">
      <alignment horizontal="left"/>
      <protection locked="0"/>
    </xf>
    <xf numFmtId="0" fontId="6" fillId="2" borderId="2" xfId="1" applyFont="1" applyFill="1" applyBorder="1" applyAlignment="1" applyProtection="1">
      <alignment horizontal="center"/>
      <protection locked="0"/>
    </xf>
    <xf numFmtId="18" fontId="6" fillId="2" borderId="2" xfId="1" applyNumberFormat="1" applyFont="1" applyFill="1" applyBorder="1" applyAlignment="1" applyProtection="1">
      <protection locked="0"/>
    </xf>
    <xf numFmtId="18" fontId="2" fillId="2" borderId="3" xfId="1" applyNumberFormat="1" applyFill="1" applyBorder="1" applyAlignment="1" applyProtection="1"/>
    <xf numFmtId="18" fontId="2" fillId="0" borderId="0" xfId="1" applyNumberFormat="1" applyAlignment="1" applyProtection="1"/>
    <xf numFmtId="0" fontId="0" fillId="0" borderId="0" xfId="0" applyProtection="1"/>
    <xf numFmtId="0" fontId="5" fillId="2" borderId="4" xfId="1" applyFont="1" applyFill="1" applyBorder="1" applyProtection="1"/>
    <xf numFmtId="0" fontId="5" fillId="2" borderId="0" xfId="1" applyFont="1" applyFill="1" applyBorder="1" applyAlignment="1" applyProtection="1">
      <alignment horizontal="left"/>
      <protection locked="0"/>
    </xf>
    <xf numFmtId="0" fontId="2" fillId="2" borderId="0" xfId="1" applyFill="1" applyBorder="1" applyProtection="1"/>
    <xf numFmtId="0" fontId="5" fillId="2" borderId="0" xfId="1" applyFont="1" applyFill="1" applyBorder="1" applyAlignment="1" applyProtection="1">
      <alignment horizontal="left"/>
    </xf>
    <xf numFmtId="164" fontId="6" fillId="2" borderId="0" xfId="1" applyNumberFormat="1" applyFont="1" applyFill="1" applyBorder="1" applyAlignment="1" applyProtection="1">
      <alignment horizontal="centerContinuous"/>
      <protection locked="0"/>
    </xf>
    <xf numFmtId="14" fontId="6" fillId="2" borderId="0" xfId="1" applyNumberFormat="1" applyFont="1" applyFill="1" applyBorder="1" applyAlignment="1" applyProtection="1">
      <alignment horizontal="centerContinuous"/>
      <protection locked="0"/>
    </xf>
    <xf numFmtId="0" fontId="6" fillId="2" borderId="0" xfId="1" applyFont="1" applyFill="1" applyBorder="1" applyAlignment="1" applyProtection="1">
      <alignment horizontal="centerContinuous"/>
      <protection locked="0"/>
    </xf>
    <xf numFmtId="0" fontId="2" fillId="2" borderId="5" xfId="1" applyFill="1" applyBorder="1" applyAlignment="1" applyProtection="1"/>
    <xf numFmtId="0" fontId="2" fillId="0" borderId="0" xfId="1" applyBorder="1" applyAlignment="1" applyProtection="1"/>
    <xf numFmtId="0" fontId="5" fillId="2" borderId="6" xfId="1" applyFont="1" applyFill="1" applyBorder="1" applyAlignment="1" applyProtection="1">
      <alignment horizontal="left"/>
    </xf>
    <xf numFmtId="0" fontId="5" fillId="2" borderId="7" xfId="1" applyFont="1" applyFill="1" applyBorder="1" applyAlignment="1" applyProtection="1">
      <alignment horizontal="left"/>
      <protection locked="0"/>
    </xf>
    <xf numFmtId="0" fontId="2" fillId="2" borderId="7" xfId="1" applyFont="1" applyFill="1" applyBorder="1" applyProtection="1"/>
    <xf numFmtId="0" fontId="2" fillId="2" borderId="7" xfId="1" applyFill="1" applyBorder="1" applyProtection="1"/>
    <xf numFmtId="0" fontId="2" fillId="2" borderId="7" xfId="1" applyFont="1" applyFill="1" applyBorder="1" applyAlignment="1" applyProtection="1">
      <alignment horizontal="left"/>
    </xf>
    <xf numFmtId="0" fontId="5" fillId="2" borderId="7" xfId="1" applyFont="1" applyFill="1" applyBorder="1" applyProtection="1"/>
    <xf numFmtId="0" fontId="5" fillId="2" borderId="7" xfId="1" applyFont="1" applyFill="1" applyBorder="1" applyAlignment="1" applyProtection="1">
      <alignment horizontal="centerContinuous"/>
      <protection locked="0"/>
    </xf>
    <xf numFmtId="0" fontId="6" fillId="2" borderId="7" xfId="1" applyFont="1" applyFill="1" applyBorder="1" applyAlignment="1" applyProtection="1">
      <alignment horizontal="centerContinuous"/>
      <protection locked="0"/>
    </xf>
    <xf numFmtId="0" fontId="5" fillId="2" borderId="7" xfId="1" applyFont="1" applyFill="1" applyBorder="1" applyAlignment="1" applyProtection="1">
      <protection locked="0"/>
    </xf>
    <xf numFmtId="0" fontId="2" fillId="2" borderId="8" xfId="1" applyFont="1" applyFill="1" applyBorder="1" applyProtection="1"/>
    <xf numFmtId="0" fontId="2" fillId="0" borderId="0" xfId="1" applyFont="1" applyBorder="1" applyProtection="1"/>
    <xf numFmtId="1" fontId="2" fillId="0" borderId="4" xfId="1" applyNumberFormat="1" applyFont="1" applyBorder="1" applyAlignment="1" applyProtection="1">
      <alignment horizontal="left"/>
    </xf>
    <xf numFmtId="0" fontId="2" fillId="0" borderId="0" xfId="1" applyBorder="1" applyProtection="1"/>
    <xf numFmtId="18" fontId="2" fillId="0" borderId="0" xfId="1" applyNumberFormat="1" applyFont="1" applyBorder="1" applyAlignment="1" applyProtection="1">
      <alignment horizontal="centerContinuous"/>
    </xf>
    <xf numFmtId="0" fontId="2" fillId="0" borderId="0" xfId="1" applyFont="1" applyBorder="1" applyAlignment="1" applyProtection="1">
      <alignment horizontal="centerContinuous"/>
    </xf>
    <xf numFmtId="20" fontId="2" fillId="0" borderId="0" xfId="1" applyNumberFormat="1" applyFont="1" applyBorder="1" applyAlignment="1" applyProtection="1">
      <alignment horizontal="center"/>
    </xf>
    <xf numFmtId="0" fontId="2" fillId="0" borderId="5" xfId="1" applyBorder="1" applyProtection="1"/>
    <xf numFmtId="0" fontId="2" fillId="0" borderId="0" xfId="1" applyFont="1" applyProtection="1"/>
    <xf numFmtId="0" fontId="2" fillId="0" borderId="0" xfId="1" applyFont="1" applyBorder="1" applyAlignment="1" applyProtection="1">
      <alignment horizontal="center"/>
    </xf>
    <xf numFmtId="20" fontId="2" fillId="0" borderId="0" xfId="1" applyNumberFormat="1" applyFont="1" applyBorder="1" applyAlignment="1" applyProtection="1">
      <alignment horizontal="centerContinuous"/>
    </xf>
    <xf numFmtId="18" fontId="2" fillId="0" borderId="0" xfId="1" applyNumberFormat="1" applyFont="1" applyBorder="1" applyAlignment="1" applyProtection="1"/>
    <xf numFmtId="0" fontId="2" fillId="0" borderId="0" xfId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center"/>
    </xf>
    <xf numFmtId="0" fontId="2" fillId="0" borderId="4" xfId="1" applyBorder="1" applyProtection="1"/>
    <xf numFmtId="0" fontId="2" fillId="0" borderId="0" xfId="1" applyAlignment="1" applyProtection="1">
      <alignment horizontal="right" vertical="center" textRotation="90"/>
    </xf>
    <xf numFmtId="0" fontId="2" fillId="0" borderId="0" xfId="1" applyFont="1" applyAlignment="1" applyProtection="1">
      <alignment horizontal="center" vertical="center" textRotation="90"/>
    </xf>
    <xf numFmtId="0" fontId="2" fillId="0" borderId="0" xfId="1" applyAlignment="1" applyProtection="1">
      <alignment horizontal="left" vertical="center" textRotation="90"/>
    </xf>
    <xf numFmtId="0" fontId="2" fillId="0" borderId="0" xfId="1" applyAlignment="1" applyProtection="1">
      <alignment horizontal="center" textRotation="90"/>
    </xf>
    <xf numFmtId="0" fontId="0" fillId="0" borderId="4" xfId="0" applyBorder="1" applyProtection="1"/>
    <xf numFmtId="0" fontId="2" fillId="0" borderId="0" xfId="1" applyFont="1" applyBorder="1" applyAlignment="1" applyProtection="1">
      <alignment horizontal="right"/>
    </xf>
    <xf numFmtId="2" fontId="2" fillId="0" borderId="0" xfId="1" applyNumberFormat="1" applyBorder="1" applyAlignment="1" applyProtection="1">
      <alignment horizontal="left"/>
    </xf>
    <xf numFmtId="0" fontId="2" fillId="0" borderId="0" xfId="1" applyAlignment="1" applyProtection="1">
      <alignment horizontal="center"/>
    </xf>
    <xf numFmtId="0" fontId="2" fillId="0" borderId="0" xfId="1" applyAlignment="1" applyProtection="1">
      <alignment horizontal="right"/>
    </xf>
    <xf numFmtId="0" fontId="2" fillId="0" borderId="0" xfId="1" applyAlignment="1" applyProtection="1">
      <alignment horizontal="left"/>
    </xf>
    <xf numFmtId="0" fontId="2" fillId="0" borderId="0" xfId="1" applyBorder="1" applyAlignment="1" applyProtection="1">
      <alignment horizontal="center"/>
    </xf>
    <xf numFmtId="0" fontId="2" fillId="0" borderId="5" xfId="1" applyBorder="1" applyAlignment="1" applyProtection="1">
      <alignment horizontal="center"/>
    </xf>
    <xf numFmtId="0" fontId="2" fillId="0" borderId="0" xfId="1" applyFont="1" applyAlignment="1" applyProtection="1">
      <alignment horizontal="center"/>
    </xf>
    <xf numFmtId="0" fontId="0" fillId="0" borderId="5" xfId="0" applyBorder="1" applyProtection="1"/>
    <xf numFmtId="2" fontId="2" fillId="0" borderId="0" xfId="1" applyNumberFormat="1" applyAlignment="1" applyProtection="1">
      <alignment horizontal="right"/>
    </xf>
    <xf numFmtId="3" fontId="2" fillId="0" borderId="0" xfId="1" applyNumberFormat="1" applyAlignment="1" applyProtection="1">
      <alignment horizontal="center"/>
    </xf>
    <xf numFmtId="0" fontId="2" fillId="0" borderId="0" xfId="1" applyBorder="1" applyAlignment="1" applyProtection="1">
      <alignment horizontal="centerContinuous"/>
    </xf>
    <xf numFmtId="0" fontId="2" fillId="0" borderId="0" xfId="1" applyAlignment="1" applyProtection="1">
      <alignment horizontal="center" vertical="top" textRotation="90"/>
    </xf>
    <xf numFmtId="0" fontId="7" fillId="0" borderId="0" xfId="1" applyFont="1" applyBorder="1" applyAlignment="1" applyProtection="1">
      <alignment horizontal="centerContinuous"/>
    </xf>
    <xf numFmtId="0" fontId="8" fillId="0" borderId="0" xfId="1" applyFont="1" applyFill="1" applyBorder="1" applyAlignment="1" applyProtection="1">
      <alignment horizontal="centerContinuous"/>
    </xf>
    <xf numFmtId="0" fontId="2" fillId="0" borderId="0" xfId="1" applyFill="1" applyBorder="1" applyAlignment="1" applyProtection="1">
      <alignment horizontal="centerContinuous"/>
    </xf>
    <xf numFmtId="0" fontId="2" fillId="0" borderId="4" xfId="1" quotePrefix="1" applyFont="1" applyBorder="1" applyAlignment="1" applyProtection="1">
      <alignment horizontal="left"/>
    </xf>
    <xf numFmtId="0" fontId="9" fillId="2" borderId="9" xfId="0" applyFont="1" applyFill="1" applyBorder="1" applyAlignment="1" applyProtection="1">
      <alignment horizontal="centerContinuous"/>
    </xf>
    <xf numFmtId="0" fontId="9" fillId="2" borderId="2" xfId="0" applyFont="1" applyFill="1" applyBorder="1" applyAlignment="1" applyProtection="1">
      <alignment horizontal="center"/>
      <protection locked="0"/>
    </xf>
    <xf numFmtId="0" fontId="9" fillId="2" borderId="2" xfId="0" applyFont="1" applyFill="1" applyBorder="1" applyAlignment="1" applyProtection="1">
      <alignment horizontal="centerContinuous"/>
    </xf>
    <xf numFmtId="0" fontId="5" fillId="2" borderId="10" xfId="1" applyFont="1" applyFill="1" applyBorder="1" applyProtection="1"/>
    <xf numFmtId="0" fontId="6" fillId="0" borderId="0" xfId="1" applyFont="1" applyBorder="1" applyProtection="1"/>
    <xf numFmtId="0" fontId="6" fillId="0" borderId="0" xfId="1" applyFont="1" applyProtection="1"/>
    <xf numFmtId="0" fontId="2" fillId="2" borderId="4" xfId="1" applyFont="1" applyFill="1" applyBorder="1" applyProtection="1"/>
    <xf numFmtId="0" fontId="2" fillId="2" borderId="11" xfId="1" applyFont="1" applyFill="1" applyBorder="1" applyProtection="1"/>
    <xf numFmtId="0" fontId="2" fillId="2" borderId="0" xfId="1" applyFont="1" applyFill="1" applyBorder="1" applyAlignment="1" applyProtection="1">
      <alignment horizontal="center"/>
    </xf>
    <xf numFmtId="0" fontId="2" fillId="2" borderId="11" xfId="1" applyFont="1" applyFill="1" applyBorder="1" applyAlignment="1" applyProtection="1">
      <alignment horizontal="center"/>
    </xf>
    <xf numFmtId="0" fontId="2" fillId="2" borderId="12" xfId="1" applyFont="1" applyFill="1" applyBorder="1" applyProtection="1"/>
    <xf numFmtId="0" fontId="7" fillId="0" borderId="0" xfId="1" applyFont="1" applyBorder="1" applyProtection="1"/>
    <xf numFmtId="0" fontId="7" fillId="0" borderId="0" xfId="1" applyFont="1" applyProtection="1"/>
    <xf numFmtId="0" fontId="7" fillId="0" borderId="0" xfId="1" applyFont="1" applyBorder="1" applyAlignment="1" applyProtection="1">
      <alignment horizontal="center"/>
    </xf>
    <xf numFmtId="0" fontId="5" fillId="2" borderId="6" xfId="1" applyFont="1" applyFill="1" applyBorder="1" applyAlignment="1" applyProtection="1">
      <alignment horizontal="center"/>
    </xf>
    <xf numFmtId="0" fontId="2" fillId="2" borderId="13" xfId="1" applyFont="1" applyFill="1" applyBorder="1" applyAlignment="1" applyProtection="1">
      <alignment horizontal="center"/>
    </xf>
    <xf numFmtId="0" fontId="2" fillId="2" borderId="7" xfId="1" applyFont="1" applyFill="1" applyBorder="1" applyAlignment="1" applyProtection="1">
      <alignment horizontal="center"/>
    </xf>
    <xf numFmtId="0" fontId="2" fillId="2" borderId="14" xfId="1" applyFont="1" applyFill="1" applyBorder="1" applyProtection="1"/>
    <xf numFmtId="0" fontId="10" fillId="0" borderId="4" xfId="1" applyFont="1" applyBorder="1" applyAlignment="1" applyProtection="1">
      <alignment horizontal="center"/>
    </xf>
    <xf numFmtId="0" fontId="10" fillId="0" borderId="11" xfId="1" applyFont="1" applyBorder="1" applyAlignment="1" applyProtection="1">
      <alignment horizontal="center"/>
    </xf>
    <xf numFmtId="0" fontId="10" fillId="0" borderId="0" xfId="1" applyFont="1" applyBorder="1" applyAlignment="1" applyProtection="1">
      <alignment horizontal="center"/>
    </xf>
    <xf numFmtId="0" fontId="10" fillId="0" borderId="12" xfId="1" applyFont="1" applyBorder="1" applyAlignment="1" applyProtection="1">
      <alignment horizontal="center"/>
    </xf>
    <xf numFmtId="0" fontId="11" fillId="0" borderId="0" xfId="1" applyFont="1" applyBorder="1" applyAlignment="1" applyProtection="1">
      <alignment horizontal="center"/>
    </xf>
    <xf numFmtId="18" fontId="2" fillId="0" borderId="4" xfId="1" applyNumberFormat="1" applyFont="1" applyBorder="1" applyAlignment="1" applyProtection="1">
      <alignment horizontal="center"/>
    </xf>
    <xf numFmtId="0" fontId="2" fillId="0" borderId="11" xfId="1" applyFont="1" applyBorder="1" applyAlignment="1" applyProtection="1">
      <alignment horizontal="center"/>
      <protection locked="0"/>
    </xf>
    <xf numFmtId="0" fontId="2" fillId="0" borderId="0" xfId="1" applyFont="1" applyBorder="1" applyAlignment="1" applyProtection="1">
      <alignment horizontal="center"/>
      <protection locked="0"/>
    </xf>
    <xf numFmtId="0" fontId="2" fillId="0" borderId="12" xfId="1" applyFont="1" applyBorder="1" applyAlignment="1" applyProtection="1">
      <alignment horizontal="center"/>
    </xf>
    <xf numFmtId="20" fontId="7" fillId="0" borderId="0" xfId="1" applyNumberFormat="1" applyFont="1" applyProtection="1"/>
    <xf numFmtId="0" fontId="2" fillId="0" borderId="11" xfId="1" applyFont="1" applyBorder="1" applyAlignment="1" applyProtection="1">
      <alignment horizontal="center"/>
    </xf>
    <xf numFmtId="0" fontId="2" fillId="0" borderId="4" xfId="1" applyFont="1" applyBorder="1" applyAlignment="1" applyProtection="1">
      <alignment horizontal="center"/>
    </xf>
    <xf numFmtId="0" fontId="5" fillId="0" borderId="6" xfId="1" applyFont="1" applyBorder="1" applyAlignment="1" applyProtection="1">
      <alignment horizontal="center"/>
    </xf>
    <xf numFmtId="0" fontId="2" fillId="0" borderId="13" xfId="1" applyFont="1" applyBorder="1" applyAlignment="1" applyProtection="1">
      <alignment horizontal="center"/>
    </xf>
    <xf numFmtId="0" fontId="2" fillId="0" borderId="7" xfId="1" applyFont="1" applyBorder="1" applyAlignment="1" applyProtection="1">
      <alignment horizontal="center"/>
    </xf>
    <xf numFmtId="0" fontId="2" fillId="0" borderId="14" xfId="1" applyFont="1" applyBorder="1" applyAlignment="1" applyProtection="1">
      <alignment horizontal="center"/>
    </xf>
    <xf numFmtId="0" fontId="7" fillId="0" borderId="0" xfId="1" applyFont="1" applyAlignment="1" applyProtection="1">
      <alignment horizontal="centerContinuous"/>
    </xf>
    <xf numFmtId="0" fontId="7" fillId="0" borderId="0" xfId="1" applyFont="1" applyAlignment="1" applyProtection="1">
      <alignment horizontal="center"/>
    </xf>
    <xf numFmtId="1" fontId="7" fillId="0" borderId="0" xfId="1" applyNumberFormat="1" applyFont="1" applyAlignment="1" applyProtection="1">
      <alignment horizontal="center"/>
    </xf>
    <xf numFmtId="0" fontId="2" fillId="0" borderId="13" xfId="1" applyFont="1" applyBorder="1" applyProtection="1"/>
    <xf numFmtId="0" fontId="2" fillId="0" borderId="7" xfId="1" applyFont="1" applyBorder="1" applyProtection="1"/>
    <xf numFmtId="0" fontId="2" fillId="0" borderId="14" xfId="1" applyFont="1" applyBorder="1" applyProtection="1"/>
    <xf numFmtId="20" fontId="7" fillId="0" borderId="0" xfId="1" applyNumberFormat="1" applyFont="1" applyAlignment="1" applyProtection="1">
      <alignment horizontal="center"/>
    </xf>
    <xf numFmtId="0" fontId="2" fillId="0" borderId="6" xfId="1" applyFont="1" applyBorder="1" applyAlignment="1" applyProtection="1">
      <alignment horizontal="left"/>
    </xf>
    <xf numFmtId="0" fontId="2" fillId="0" borderId="0" xfId="1" applyFont="1" applyAlignment="1" applyProtection="1">
      <alignment horizontal="left"/>
    </xf>
    <xf numFmtId="0" fontId="7" fillId="0" borderId="0" xfId="1" applyFont="1" applyAlignment="1" applyProtection="1">
      <alignment horizontal="left"/>
    </xf>
    <xf numFmtId="0" fontId="5" fillId="0" borderId="0" xfId="1" applyFont="1" applyProtection="1"/>
    <xf numFmtId="0" fontId="2" fillId="0" borderId="0" xfId="1" applyAlignment="1" applyProtection="1"/>
    <xf numFmtId="0" fontId="12" fillId="0" borderId="0" xfId="1" applyFont="1" applyAlignment="1" applyProtection="1">
      <alignment horizontal="left"/>
    </xf>
    <xf numFmtId="0" fontId="7" fillId="0" borderId="0" xfId="1" applyFont="1" applyBorder="1" applyAlignment="1" applyProtection="1">
      <alignment horizontal="left"/>
    </xf>
  </cellXfs>
  <cellStyles count="2">
    <cellStyle name="Normal" xfId="0" builtinId="0"/>
    <cellStyle name="Normal_2HourCount(TN).05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2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3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3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3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3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3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3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3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3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4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3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4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4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4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8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9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4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4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4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4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8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5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8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5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5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6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8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8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7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8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7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7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7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7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6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6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7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6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9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9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9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9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9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9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9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9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0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0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0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0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0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0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0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25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5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0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0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1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25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5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1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24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1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1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2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2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24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24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24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24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4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23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3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2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3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3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3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3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3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25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25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25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5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25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25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26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26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26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26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6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26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6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26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26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26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27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1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1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27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27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7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1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7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1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7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7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28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28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0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1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0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0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8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0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0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29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0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29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29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29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29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29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1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1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1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2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2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2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2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2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2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2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2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2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3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3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3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37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7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3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3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3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3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37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3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37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4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4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34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37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37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7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36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36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36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36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36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6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35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35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35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35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38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38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38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38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38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38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38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38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38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39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39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39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39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39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44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4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39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39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39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0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43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4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0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43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0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0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1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1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3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3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3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2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3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2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2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2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1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2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2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2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44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44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44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44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44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4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45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45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45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45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5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45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45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45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45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0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0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46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46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6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0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6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0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0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6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6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47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47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49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49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49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49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7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49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9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48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48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48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48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48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48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0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0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0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0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1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1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1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1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1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1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1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1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1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1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2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2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2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56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6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2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2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2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2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56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2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56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2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3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3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56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3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55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6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55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55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55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55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54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5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4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54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54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4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56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57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57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57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57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7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57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57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57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7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58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58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58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58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58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3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3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58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58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8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59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2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59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2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59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59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0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0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2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2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2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2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1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1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1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1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0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1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1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0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32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33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34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5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36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637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38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639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640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641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2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644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45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643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646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647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648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693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94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649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650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1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2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53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691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2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54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689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90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55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6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7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8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59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0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1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2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663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664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687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8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5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685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6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6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683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4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7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681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2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8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679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80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69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677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8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0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675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6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671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673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674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672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695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696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697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698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699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00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01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02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03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04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05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07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08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06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09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10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11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756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57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12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13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4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5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16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754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5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17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752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3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18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19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0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1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2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3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4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5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26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27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750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51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8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748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9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29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746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7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0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744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5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1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742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3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2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740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41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3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738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9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34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36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737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35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758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759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760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1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762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763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764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765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766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767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68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770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1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769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772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773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774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19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20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775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776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7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78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79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17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8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80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15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6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81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2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3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4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5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6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7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8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789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790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13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4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1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11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2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2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09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10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3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07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8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4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05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6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5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03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4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6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01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2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797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799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00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798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21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22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23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4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25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26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27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28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29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30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1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33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34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32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35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36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37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882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83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838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839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0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1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42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880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81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43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878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9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44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5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6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7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8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49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0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1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52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853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876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7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4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874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5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5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872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3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6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870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71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7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868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9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8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866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7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59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864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5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860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862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863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861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884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885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886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87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888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889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90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891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892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893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894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896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897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895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898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899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00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945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46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01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02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3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4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05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943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4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06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941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2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07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8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09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0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1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2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3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4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15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16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939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40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7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937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8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8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35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6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19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33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4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0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31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2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1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29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30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2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27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8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23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25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26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24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947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948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949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0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951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952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53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954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955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956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57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959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0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958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961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962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963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08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09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964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965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6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67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68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06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7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69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04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5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70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1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2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3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4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5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6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7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978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979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02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3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0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00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01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1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998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9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2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996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7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3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994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5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4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992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3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5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990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91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986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988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989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987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10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11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12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3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14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15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16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17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18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19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0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22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3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21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24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25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26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071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72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27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28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29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0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31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069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70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32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067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8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33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4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5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6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7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8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39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0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41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42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065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6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3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063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4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4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061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2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5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059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60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6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057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8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7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055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6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8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053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4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49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051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052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50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073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074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075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6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077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078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079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080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081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082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3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085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86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084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087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088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089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34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35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090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091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2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3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094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32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3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095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30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31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096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7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8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099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0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1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2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3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04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05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28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9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6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26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7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7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24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5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8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22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3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09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20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21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0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18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9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1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16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7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12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14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15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13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36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137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138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39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140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141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142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143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144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145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46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148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49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147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150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151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152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197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98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153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154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5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56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57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195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6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58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193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4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59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0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1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2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3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4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5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6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167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168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191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2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69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189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90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0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187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8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1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185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6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2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183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4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3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181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2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4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179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80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175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177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178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176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  <xdr:twoCellAnchor>
    <xdr:from>
      <xdr:col>3</xdr:col>
      <xdr:colOff>276225</xdr:colOff>
      <xdr:row>11</xdr:row>
      <xdr:rowOff>133350</xdr:rowOff>
    </xdr:from>
    <xdr:to>
      <xdr:col>3</xdr:col>
      <xdr:colOff>276225</xdr:colOff>
      <xdr:row>13</xdr:row>
      <xdr:rowOff>19050</xdr:rowOff>
    </xdr:to>
    <xdr:sp macro="" textlink="">
      <xdr:nvSpPr>
        <xdr:cNvPr id="1199" name="Line 116"/>
        <xdr:cNvSpPr>
          <a:spLocks noChangeShapeType="1"/>
        </xdr:cNvSpPr>
      </xdr:nvSpPr>
      <xdr:spPr bwMode="auto">
        <a:xfrm>
          <a:off x="2324100" y="2571750"/>
          <a:ext cx="0" cy="28575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114300</xdr:colOff>
      <xdr:row>11</xdr:row>
      <xdr:rowOff>133350</xdr:rowOff>
    </xdr:from>
    <xdr:to>
      <xdr:col>4</xdr:col>
      <xdr:colOff>238125</xdr:colOff>
      <xdr:row>12</xdr:row>
      <xdr:rowOff>142875</xdr:rowOff>
    </xdr:to>
    <xdr:grpSp>
      <xdr:nvGrpSpPr>
        <xdr:cNvPr id="1200" name="Group 117"/>
        <xdr:cNvGrpSpPr>
          <a:grpSpLocks/>
        </xdr:cNvGrpSpPr>
      </xdr:nvGrpSpPr>
      <xdr:grpSpPr bwMode="auto">
        <a:xfrm>
          <a:off x="2828925" y="2571750"/>
          <a:ext cx="123825" cy="209550"/>
          <a:chOff x="-49" y="-80164"/>
          <a:chExt cx="13" cy="220"/>
        </a:xfrm>
      </xdr:grpSpPr>
      <xdr:sp macro="" textlink="">
        <xdr:nvSpPr>
          <xdr:cNvPr id="1201" name="Line 118"/>
          <xdr:cNvSpPr>
            <a:spLocks noChangeShapeType="1"/>
          </xdr:cNvSpPr>
        </xdr:nvSpPr>
        <xdr:spPr bwMode="auto">
          <a:xfrm flipV="1">
            <a:off x="-49" y="-79944"/>
            <a:ext cx="13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2" name="Line 119"/>
          <xdr:cNvSpPr>
            <a:spLocks noChangeShapeType="1"/>
          </xdr:cNvSpPr>
        </xdr:nvSpPr>
        <xdr:spPr bwMode="auto">
          <a:xfrm>
            <a:off x="-49" y="-80164"/>
            <a:ext cx="0" cy="22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342900</xdr:colOff>
      <xdr:row>11</xdr:row>
      <xdr:rowOff>114300</xdr:rowOff>
    </xdr:from>
    <xdr:to>
      <xdr:col>2</xdr:col>
      <xdr:colOff>447675</xdr:colOff>
      <xdr:row>12</xdr:row>
      <xdr:rowOff>142875</xdr:rowOff>
    </xdr:to>
    <xdr:grpSp>
      <xdr:nvGrpSpPr>
        <xdr:cNvPr id="1203" name="Group 120"/>
        <xdr:cNvGrpSpPr>
          <a:grpSpLocks/>
        </xdr:cNvGrpSpPr>
      </xdr:nvGrpSpPr>
      <xdr:grpSpPr bwMode="auto">
        <a:xfrm>
          <a:off x="1724025" y="2552700"/>
          <a:ext cx="104775" cy="228600"/>
          <a:chOff x="-25" y="-79222"/>
          <a:chExt cx="11" cy="216"/>
        </a:xfrm>
      </xdr:grpSpPr>
      <xdr:sp macro="" textlink="">
        <xdr:nvSpPr>
          <xdr:cNvPr id="1204" name="Line 121"/>
          <xdr:cNvSpPr>
            <a:spLocks noChangeShapeType="1"/>
          </xdr:cNvSpPr>
        </xdr:nvSpPr>
        <xdr:spPr bwMode="auto">
          <a:xfrm flipH="1" flipV="1">
            <a:off x="-25" y="-79006"/>
            <a:ext cx="1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1205" name="Line 122"/>
          <xdr:cNvSpPr>
            <a:spLocks noChangeShapeType="1"/>
          </xdr:cNvSpPr>
        </xdr:nvSpPr>
        <xdr:spPr bwMode="auto">
          <a:xfrm>
            <a:off x="-14" y="-79222"/>
            <a:ext cx="0" cy="216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2</xdr:col>
      <xdr:colOff>180975</xdr:colOff>
      <xdr:row>13</xdr:row>
      <xdr:rowOff>142875</xdr:rowOff>
    </xdr:from>
    <xdr:to>
      <xdr:col>2</xdr:col>
      <xdr:colOff>180975</xdr:colOff>
      <xdr:row>14</xdr:row>
      <xdr:rowOff>133350</xdr:rowOff>
    </xdr:to>
    <xdr:sp macro="" textlink="">
      <xdr:nvSpPr>
        <xdr:cNvPr id="1206" name="Line 134"/>
        <xdr:cNvSpPr>
          <a:spLocks noChangeShapeType="1"/>
        </xdr:cNvSpPr>
      </xdr:nvSpPr>
      <xdr:spPr bwMode="auto">
        <a:xfrm flipV="1">
          <a:off x="1562100" y="2981325"/>
          <a:ext cx="0" cy="190500"/>
        </a:xfrm>
        <a:prstGeom prst="line">
          <a:avLst/>
        </a:prstGeom>
        <a:noFill/>
        <a:ln w="17145">
          <a:solidFill>
            <a:srgbClr val="000000"/>
          </a:solidFill>
          <a:round/>
          <a:headEnd/>
          <a:tailEnd type="triangle" w="sm" len="sm"/>
        </a:ln>
        <a:extLst>
          <a:ext uri="{909E8E84-426E-40DD-AFC4-6F175D3DCCD1}">
            <a14:hiddenFill xmlns=""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19050</xdr:colOff>
      <xdr:row>14</xdr:row>
      <xdr:rowOff>133350</xdr:rowOff>
    </xdr:from>
    <xdr:to>
      <xdr:col>2</xdr:col>
      <xdr:colOff>238125</xdr:colOff>
      <xdr:row>19</xdr:row>
      <xdr:rowOff>66675</xdr:rowOff>
    </xdr:to>
    <xdr:grpSp>
      <xdr:nvGrpSpPr>
        <xdr:cNvPr id="1207" name="Group 371"/>
        <xdr:cNvGrpSpPr>
          <a:grpSpLocks/>
        </xdr:cNvGrpSpPr>
      </xdr:nvGrpSpPr>
      <xdr:grpSpPr bwMode="auto">
        <a:xfrm>
          <a:off x="1400175" y="3171825"/>
          <a:ext cx="219075" cy="933450"/>
          <a:chOff x="-23650" y="-28247"/>
          <a:chExt cx="17043" cy="196"/>
        </a:xfrm>
      </xdr:grpSpPr>
      <xdr:sp macro="" textlink="">
        <xdr:nvSpPr>
          <xdr:cNvPr id="1208" name="Line 127"/>
          <xdr:cNvSpPr>
            <a:spLocks noChangeShapeType="1"/>
          </xdr:cNvSpPr>
        </xdr:nvSpPr>
        <xdr:spPr bwMode="auto">
          <a:xfrm>
            <a:off x="-22168" y="-28169"/>
            <a:ext cx="15561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09" name="Group 312"/>
          <xdr:cNvGrpSpPr>
            <a:grpSpLocks/>
          </xdr:cNvGrpSpPr>
        </xdr:nvGrpSpPr>
        <xdr:grpSpPr bwMode="auto">
          <a:xfrm>
            <a:off x="-23650" y="-28093"/>
            <a:ext cx="11856" cy="42"/>
            <a:chOff x="4160000" y="8300000"/>
            <a:chExt cx="320000" cy="420000"/>
          </a:xfrm>
        </xdr:grpSpPr>
        <xdr:sp macro="" textlink="">
          <xdr:nvSpPr>
            <xdr:cNvPr id="1211" name="Line 132"/>
            <xdr:cNvSpPr>
              <a:spLocks noChangeShapeType="1"/>
            </xdr:cNvSpPr>
          </xdr:nvSpPr>
          <xdr:spPr bwMode="auto">
            <a:xfrm flipH="1">
              <a:off x="4480000" y="8300000"/>
              <a:ext cx="0" cy="42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2" name="Line 133"/>
            <xdr:cNvSpPr>
              <a:spLocks noChangeShapeType="1"/>
            </xdr:cNvSpPr>
          </xdr:nvSpPr>
          <xdr:spPr bwMode="auto">
            <a:xfrm flipH="1" flipV="1">
              <a:off x="4160000" y="830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sp macro="" textlink="">
        <xdr:nvSpPr>
          <xdr:cNvPr id="1210" name="Line 135"/>
          <xdr:cNvSpPr>
            <a:spLocks noChangeShapeType="1"/>
          </xdr:cNvSpPr>
        </xdr:nvSpPr>
        <xdr:spPr bwMode="auto">
          <a:xfrm flipH="1" flipV="1">
            <a:off x="-22168" y="-28247"/>
            <a:ext cx="11856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0</xdr:col>
      <xdr:colOff>581025</xdr:colOff>
      <xdr:row>9</xdr:row>
      <xdr:rowOff>0</xdr:rowOff>
    </xdr:from>
    <xdr:to>
      <xdr:col>12</xdr:col>
      <xdr:colOff>209550</xdr:colOff>
      <xdr:row>27</xdr:row>
      <xdr:rowOff>0</xdr:rowOff>
    </xdr:to>
    <xdr:grpSp>
      <xdr:nvGrpSpPr>
        <xdr:cNvPr id="1213" name="Group 372"/>
        <xdr:cNvGrpSpPr>
          <a:grpSpLocks/>
        </xdr:cNvGrpSpPr>
      </xdr:nvGrpSpPr>
      <xdr:grpSpPr bwMode="auto">
        <a:xfrm>
          <a:off x="581025" y="1857375"/>
          <a:ext cx="7648575" cy="4057650"/>
          <a:chOff x="-574" y="-3975"/>
          <a:chExt cx="20328" cy="213"/>
        </a:xfrm>
      </xdr:grpSpPr>
      <xdr:sp macro="" textlink="">
        <xdr:nvSpPr>
          <xdr:cNvPr id="1214" name="Line 144"/>
          <xdr:cNvSpPr>
            <a:spLocks noChangeShapeType="1"/>
          </xdr:cNvSpPr>
        </xdr:nvSpPr>
        <xdr:spPr bwMode="auto">
          <a:xfrm flipH="1">
            <a:off x="6314" y="-3887"/>
            <a:ext cx="532" cy="0"/>
          </a:xfrm>
          <a:prstGeom prst="line">
            <a:avLst/>
          </a:prstGeom>
          <a:noFill/>
          <a:ln w="17145">
            <a:solidFill>
              <a:srgbClr val="000000"/>
            </a:solidFill>
            <a:round/>
            <a:headEnd/>
            <a:tailEnd type="triangle" w="sm" len="sm"/>
          </a:ln>
          <a:extLst>
            <a:ext uri="{909E8E84-426E-40DD-AFC4-6F175D3DCCD1}">
              <a14:hiddenFill xmlns="" xmlns:a14="http://schemas.microsoft.com/office/drawing/2010/main">
                <a:noFill/>
              </a14:hiddenFill>
            </a:ext>
          </a:extLst>
        </xdr:spPr>
      </xdr:sp>
      <xdr:grpSp>
        <xdr:nvGrpSpPr>
          <xdr:cNvPr id="1215" name="Group 151"/>
          <xdr:cNvGrpSpPr>
            <a:grpSpLocks/>
          </xdr:cNvGrpSpPr>
        </xdr:nvGrpSpPr>
        <xdr:grpSpPr bwMode="auto">
          <a:xfrm>
            <a:off x="6398" y="-3869"/>
            <a:ext cx="448" cy="10"/>
            <a:chOff x="7400000" y="4120000"/>
            <a:chExt cx="320000" cy="200000"/>
          </a:xfrm>
        </xdr:grpSpPr>
        <xdr:sp macro="" textlink="">
          <xdr:nvSpPr>
            <xdr:cNvPr id="1260" name="Line 146"/>
            <xdr:cNvSpPr>
              <a:spLocks noChangeShapeType="1"/>
            </xdr:cNvSpPr>
          </xdr:nvSpPr>
          <xdr:spPr bwMode="auto">
            <a:xfrm flipH="1">
              <a:off x="7400000" y="412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61" name="Line 147"/>
            <xdr:cNvSpPr>
              <a:spLocks noChangeShapeType="1"/>
            </xdr:cNvSpPr>
          </xdr:nvSpPr>
          <xdr:spPr bwMode="auto">
            <a:xfrm flipH="1" flipV="1">
              <a:off x="7400000" y="412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  <xdr:grpSp>
        <xdr:nvGrpSpPr>
          <xdr:cNvPr id="1216" name="Group 152"/>
          <xdr:cNvGrpSpPr>
            <a:grpSpLocks/>
          </xdr:cNvGrpSpPr>
        </xdr:nvGrpSpPr>
        <xdr:grpSpPr bwMode="auto">
          <a:xfrm>
            <a:off x="-574" y="-3975"/>
            <a:ext cx="20328" cy="213"/>
            <a:chOff x="2420000" y="2000000"/>
            <a:chExt cx="14520000" cy="4260000"/>
          </a:xfrm>
        </xdr:grpSpPr>
        <xdr:sp macro="" textlink="">
          <xdr:nvSpPr>
            <xdr:cNvPr id="1217" name="Line 149"/>
            <xdr:cNvSpPr>
              <a:spLocks noChangeShapeType="1"/>
            </xdr:cNvSpPr>
          </xdr:nvSpPr>
          <xdr:spPr bwMode="auto">
            <a:xfrm flipV="1">
              <a:off x="7360000" y="3160000"/>
              <a:ext cx="0" cy="20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8" name="Line 150"/>
            <xdr:cNvSpPr>
              <a:spLocks noChangeShapeType="1"/>
            </xdr:cNvSpPr>
          </xdr:nvSpPr>
          <xdr:spPr bwMode="auto">
            <a:xfrm flipH="1" flipV="1">
              <a:off x="7360000" y="3360000"/>
              <a:ext cx="3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19" name="Line 155"/>
            <xdr:cNvSpPr>
              <a:spLocks noChangeShapeType="1"/>
            </xdr:cNvSpPr>
          </xdr:nvSpPr>
          <xdr:spPr bwMode="auto">
            <a:xfrm flipV="1">
              <a:off x="592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20" name="Group 314"/>
            <xdr:cNvGrpSpPr>
              <a:grpSpLocks/>
            </xdr:cNvGrpSpPr>
          </xdr:nvGrpSpPr>
          <xdr:grpSpPr bwMode="auto">
            <a:xfrm>
              <a:off x="6780000" y="4540000"/>
              <a:ext cx="280000" cy="240000"/>
              <a:chOff x="6780000" y="4540000"/>
              <a:chExt cx="280000" cy="240000"/>
            </a:xfrm>
          </xdr:grpSpPr>
          <xdr:sp macro="" textlink="">
            <xdr:nvSpPr>
              <xdr:cNvPr id="1258" name="Line 157"/>
              <xdr:cNvSpPr>
                <a:spLocks noChangeShapeType="1"/>
              </xdr:cNvSpPr>
            </xdr:nvSpPr>
            <xdr:spPr bwMode="auto">
              <a:xfrm flipV="1">
                <a:off x="6780000" y="4540000"/>
                <a:ext cx="28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9" name="Line 158"/>
              <xdr:cNvSpPr>
                <a:spLocks noChangeShapeType="1"/>
              </xdr:cNvSpPr>
            </xdr:nvSpPr>
            <xdr:spPr bwMode="auto">
              <a:xfrm>
                <a:off x="678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21" name="Group 313"/>
            <xdr:cNvGrpSpPr>
              <a:grpSpLocks/>
            </xdr:cNvGrpSpPr>
          </xdr:nvGrpSpPr>
          <xdr:grpSpPr bwMode="auto">
            <a:xfrm>
              <a:off x="4820000" y="4520000"/>
              <a:ext cx="240000" cy="260000"/>
              <a:chOff x="4820000" y="4520000"/>
              <a:chExt cx="240000" cy="260000"/>
            </a:xfrm>
          </xdr:grpSpPr>
          <xdr:sp macro="" textlink="">
            <xdr:nvSpPr>
              <xdr:cNvPr id="1256" name="Line 160"/>
              <xdr:cNvSpPr>
                <a:spLocks noChangeShapeType="1"/>
              </xdr:cNvSpPr>
            </xdr:nvSpPr>
            <xdr:spPr bwMode="auto">
              <a:xfrm flipH="1" flipV="1">
                <a:off x="4820000" y="4520000"/>
                <a:ext cx="240000" cy="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 type="triangle" w="sm" len="sm"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7" name="Line 161"/>
              <xdr:cNvSpPr>
                <a:spLocks noChangeShapeType="1"/>
              </xdr:cNvSpPr>
            </xdr:nvSpPr>
            <xdr:spPr bwMode="auto">
              <a:xfrm>
                <a:off x="5060000" y="4540000"/>
                <a:ext cx="0" cy="240000"/>
              </a:xfrm>
              <a:prstGeom prst="line">
                <a:avLst/>
              </a:prstGeom>
              <a:noFill/>
              <a:ln w="1714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22" name="Line 265"/>
            <xdr:cNvSpPr>
              <a:spLocks noChangeShapeType="1"/>
            </xdr:cNvSpPr>
          </xdr:nvSpPr>
          <xdr:spPr bwMode="auto">
            <a:xfrm>
              <a:off x="13240000" y="2760000"/>
              <a:ext cx="0" cy="34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3" name="Line 287"/>
            <xdr:cNvSpPr>
              <a:spLocks noChangeShapeType="1"/>
            </xdr:cNvSpPr>
          </xdr:nvSpPr>
          <xdr:spPr bwMode="auto">
            <a:xfrm flipH="1">
              <a:off x="15280000" y="3360000"/>
              <a:ext cx="36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4" name="Line 295"/>
            <xdr:cNvSpPr>
              <a:spLocks noChangeShapeType="1"/>
            </xdr:cNvSpPr>
          </xdr:nvSpPr>
          <xdr:spPr bwMode="auto">
            <a:xfrm flipV="1">
              <a:off x="14460000" y="448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5" name="Line 300"/>
            <xdr:cNvSpPr>
              <a:spLocks noChangeShapeType="1"/>
            </xdr:cNvSpPr>
          </xdr:nvSpPr>
          <xdr:spPr bwMode="auto">
            <a:xfrm>
              <a:off x="13240000" y="4480000"/>
              <a:ext cx="0" cy="36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6" name="Line 303"/>
            <xdr:cNvSpPr>
              <a:spLocks noChangeShapeType="1"/>
            </xdr:cNvSpPr>
          </xdr:nvSpPr>
          <xdr:spPr bwMode="auto">
            <a:xfrm flipV="1">
              <a:off x="14460000" y="2760000"/>
              <a:ext cx="0" cy="38000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7" name="Line 304"/>
            <xdr:cNvSpPr>
              <a:spLocks noChangeShapeType="1"/>
            </xdr:cNvSpPr>
          </xdr:nvSpPr>
          <xdr:spPr bwMode="auto">
            <a:xfrm flipH="1">
              <a:off x="11960000" y="336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8" name="Line 305"/>
            <xdr:cNvSpPr>
              <a:spLocks noChangeShapeType="1"/>
            </xdr:cNvSpPr>
          </xdr:nvSpPr>
          <xdr:spPr bwMode="auto">
            <a:xfrm>
              <a:off x="15260000" y="4180000"/>
              <a:ext cx="42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29" name="Line 310"/>
            <xdr:cNvSpPr>
              <a:spLocks noChangeShapeType="1"/>
            </xdr:cNvSpPr>
          </xdr:nvSpPr>
          <xdr:spPr bwMode="auto">
            <a:xfrm flipV="1">
              <a:off x="10220000" y="5300000"/>
              <a:ext cx="0" cy="42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 type="triangle" w="lg" len="lg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sp macro="" textlink="">
          <xdr:nvSpPr>
            <xdr:cNvPr id="1230" name="Line 311"/>
            <xdr:cNvSpPr>
              <a:spLocks noChangeShapeType="1"/>
            </xdr:cNvSpPr>
          </xdr:nvSpPr>
          <xdr:spPr bwMode="auto">
            <a:xfrm>
              <a:off x="10220000" y="6060000"/>
              <a:ext cx="0" cy="200000"/>
            </a:xfrm>
            <a:prstGeom prst="line">
              <a:avLst/>
            </a:prstGeom>
            <a:noFill/>
            <a:ln w="24765">
              <a:solidFill>
                <a:srgbClr val="00FF00"/>
              </a:solidFill>
              <a:round/>
              <a:headEnd/>
              <a:tailEnd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  <xdr:grpSp>
          <xdr:nvGrpSpPr>
            <xdr:cNvPr id="1231" name="Group 329"/>
            <xdr:cNvGrpSpPr>
              <a:grpSpLocks/>
            </xdr:cNvGrpSpPr>
          </xdr:nvGrpSpPr>
          <xdr:grpSpPr bwMode="auto">
            <a:xfrm>
              <a:off x="7360000" y="2000000"/>
              <a:ext cx="1680000" cy="1040000"/>
              <a:chOff x="7360000" y="2000000"/>
              <a:chExt cx="1680000" cy="1040000"/>
            </a:xfrm>
          </xdr:grpSpPr>
          <xdr:sp macro="" textlink="">
            <xdr:nvSpPr>
              <xdr:cNvPr id="1254" name="Line 330"/>
              <xdr:cNvSpPr>
                <a:spLocks noChangeShapeType="1"/>
              </xdr:cNvSpPr>
            </xdr:nvSpPr>
            <xdr:spPr bwMode="auto">
              <a:xfrm>
                <a:off x="736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5" name="Line 331"/>
              <xdr:cNvSpPr>
                <a:spLocks noChangeShapeType="1"/>
              </xdr:cNvSpPr>
            </xdr:nvSpPr>
            <xdr:spPr bwMode="auto">
              <a:xfrm>
                <a:off x="7360000" y="304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2" name="Group 369"/>
            <xdr:cNvGrpSpPr>
              <a:grpSpLocks/>
            </xdr:cNvGrpSpPr>
          </xdr:nvGrpSpPr>
          <xdr:grpSpPr bwMode="auto">
            <a:xfrm>
              <a:off x="2480000" y="2040000"/>
              <a:ext cx="2020000" cy="1020000"/>
              <a:chOff x="2480000" y="2040000"/>
              <a:chExt cx="2020000" cy="1020000"/>
            </a:xfrm>
          </xdr:grpSpPr>
          <xdr:sp macro="" textlink="">
            <xdr:nvSpPr>
              <xdr:cNvPr id="1252" name="Line 333"/>
              <xdr:cNvSpPr>
                <a:spLocks noChangeShapeType="1"/>
              </xdr:cNvSpPr>
            </xdr:nvSpPr>
            <xdr:spPr bwMode="auto">
              <a:xfrm>
                <a:off x="4500000" y="204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3" name="Line 334"/>
              <xdr:cNvSpPr>
                <a:spLocks noChangeShapeType="1"/>
              </xdr:cNvSpPr>
            </xdr:nvSpPr>
            <xdr:spPr bwMode="auto">
              <a:xfrm>
                <a:off x="2480000" y="3060000"/>
                <a:ext cx="202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3" name="Group 335"/>
            <xdr:cNvGrpSpPr>
              <a:grpSpLocks/>
            </xdr:cNvGrpSpPr>
          </xdr:nvGrpSpPr>
          <xdr:grpSpPr bwMode="auto">
            <a:xfrm>
              <a:off x="2420000" y="4480000"/>
              <a:ext cx="2200000" cy="1060000"/>
              <a:chOff x="2420000" y="4480000"/>
              <a:chExt cx="2200000" cy="1060000"/>
            </a:xfrm>
          </xdr:grpSpPr>
          <xdr:sp macro="" textlink="">
            <xdr:nvSpPr>
              <xdr:cNvPr id="1250" name="Line 336"/>
              <xdr:cNvSpPr>
                <a:spLocks noChangeShapeType="1"/>
              </xdr:cNvSpPr>
            </xdr:nvSpPr>
            <xdr:spPr bwMode="auto">
              <a:xfrm>
                <a:off x="46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51" name="Line 337"/>
              <xdr:cNvSpPr>
                <a:spLocks noChangeShapeType="1"/>
              </xdr:cNvSpPr>
            </xdr:nvSpPr>
            <xdr:spPr bwMode="auto">
              <a:xfrm>
                <a:off x="2420000" y="4480000"/>
                <a:ext cx="220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4" name="Group 368"/>
            <xdr:cNvGrpSpPr>
              <a:grpSpLocks/>
            </xdr:cNvGrpSpPr>
          </xdr:nvGrpSpPr>
          <xdr:grpSpPr bwMode="auto">
            <a:xfrm>
              <a:off x="7200000" y="4500000"/>
              <a:ext cx="1680000" cy="1040000"/>
              <a:chOff x="7200000" y="4500000"/>
              <a:chExt cx="1680000" cy="1040000"/>
            </a:xfrm>
          </xdr:grpSpPr>
          <xdr:sp macro="" textlink="">
            <xdr:nvSpPr>
              <xdr:cNvPr id="1248" name="Line 339"/>
              <xdr:cNvSpPr>
                <a:spLocks noChangeShapeType="1"/>
              </xdr:cNvSpPr>
            </xdr:nvSpPr>
            <xdr:spPr bwMode="auto">
              <a:xfrm>
                <a:off x="720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9" name="Line 340"/>
              <xdr:cNvSpPr>
                <a:spLocks noChangeShapeType="1"/>
              </xdr:cNvSpPr>
            </xdr:nvSpPr>
            <xdr:spPr bwMode="auto">
              <a:xfrm>
                <a:off x="7200000" y="4500000"/>
                <a:ext cx="168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5" name="Group 356"/>
            <xdr:cNvGrpSpPr>
              <a:grpSpLocks/>
            </xdr:cNvGrpSpPr>
          </xdr:nvGrpSpPr>
          <xdr:grpSpPr bwMode="auto">
            <a:xfrm>
              <a:off x="15280000" y="2000000"/>
              <a:ext cx="1660000" cy="1040000"/>
              <a:chOff x="15280000" y="2000000"/>
              <a:chExt cx="1660000" cy="1040000"/>
            </a:xfrm>
          </xdr:grpSpPr>
          <xdr:sp macro="" textlink="">
            <xdr:nvSpPr>
              <xdr:cNvPr id="1246" name="Line 357"/>
              <xdr:cNvSpPr>
                <a:spLocks noChangeShapeType="1"/>
              </xdr:cNvSpPr>
            </xdr:nvSpPr>
            <xdr:spPr bwMode="auto">
              <a:xfrm>
                <a:off x="15280000" y="2000000"/>
                <a:ext cx="0" cy="102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7" name="Line 358"/>
              <xdr:cNvSpPr>
                <a:spLocks noChangeShapeType="1"/>
              </xdr:cNvSpPr>
            </xdr:nvSpPr>
            <xdr:spPr bwMode="auto">
              <a:xfrm>
                <a:off x="15280000" y="3040000"/>
                <a:ext cx="16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6" name="Group 370"/>
            <xdr:cNvGrpSpPr>
              <a:grpSpLocks/>
            </xdr:cNvGrpSpPr>
          </xdr:nvGrpSpPr>
          <xdr:grpSpPr bwMode="auto">
            <a:xfrm>
              <a:off x="10660000" y="2060000"/>
              <a:ext cx="1760000" cy="1000000"/>
              <a:chOff x="10660000" y="2060000"/>
              <a:chExt cx="1760000" cy="1000000"/>
            </a:xfrm>
          </xdr:grpSpPr>
          <xdr:sp macro="" textlink="">
            <xdr:nvSpPr>
              <xdr:cNvPr id="1244" name="Line 360"/>
              <xdr:cNvSpPr>
                <a:spLocks noChangeShapeType="1"/>
              </xdr:cNvSpPr>
            </xdr:nvSpPr>
            <xdr:spPr bwMode="auto">
              <a:xfrm>
                <a:off x="12420000" y="2060000"/>
                <a:ext cx="0" cy="100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5" name="Line 361"/>
              <xdr:cNvSpPr>
                <a:spLocks noChangeShapeType="1"/>
              </xdr:cNvSpPr>
            </xdr:nvSpPr>
            <xdr:spPr bwMode="auto">
              <a:xfrm>
                <a:off x="10660000" y="3060000"/>
                <a:ext cx="176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7" name="Group 362"/>
            <xdr:cNvGrpSpPr>
              <a:grpSpLocks/>
            </xdr:cNvGrpSpPr>
          </xdr:nvGrpSpPr>
          <xdr:grpSpPr bwMode="auto">
            <a:xfrm>
              <a:off x="10640000" y="4480000"/>
              <a:ext cx="1840000" cy="1060000"/>
              <a:chOff x="10640000" y="4480000"/>
              <a:chExt cx="1840000" cy="1060000"/>
            </a:xfrm>
          </xdr:grpSpPr>
          <xdr:sp macro="" textlink="">
            <xdr:nvSpPr>
              <xdr:cNvPr id="1242" name="Line 363"/>
              <xdr:cNvSpPr>
                <a:spLocks noChangeShapeType="1"/>
              </xdr:cNvSpPr>
            </xdr:nvSpPr>
            <xdr:spPr bwMode="auto">
              <a:xfrm>
                <a:off x="1248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3" name="Line 364"/>
              <xdr:cNvSpPr>
                <a:spLocks noChangeShapeType="1"/>
              </xdr:cNvSpPr>
            </xdr:nvSpPr>
            <xdr:spPr bwMode="auto">
              <a:xfrm>
                <a:off x="10640000" y="4480000"/>
                <a:ext cx="18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grpSp>
          <xdr:nvGrpSpPr>
            <xdr:cNvPr id="1238" name="Group 365"/>
            <xdr:cNvGrpSpPr>
              <a:grpSpLocks/>
            </xdr:cNvGrpSpPr>
          </xdr:nvGrpSpPr>
          <xdr:grpSpPr bwMode="auto">
            <a:xfrm>
              <a:off x="15120000" y="4500000"/>
              <a:ext cx="1760000" cy="1040000"/>
              <a:chOff x="15120000" y="4500000"/>
              <a:chExt cx="1760000" cy="1040000"/>
            </a:xfrm>
          </xdr:grpSpPr>
          <xdr:sp macro="" textlink="">
            <xdr:nvSpPr>
              <xdr:cNvPr id="1240" name="Line 366"/>
              <xdr:cNvSpPr>
                <a:spLocks noChangeShapeType="1"/>
              </xdr:cNvSpPr>
            </xdr:nvSpPr>
            <xdr:spPr bwMode="auto">
              <a:xfrm>
                <a:off x="15120000" y="4500000"/>
                <a:ext cx="0" cy="104000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  <xdr:sp macro="" textlink="">
            <xdr:nvSpPr>
              <xdr:cNvPr id="1241" name="Line 367"/>
              <xdr:cNvSpPr>
                <a:spLocks noChangeShapeType="1"/>
              </xdr:cNvSpPr>
            </xdr:nvSpPr>
            <xdr:spPr bwMode="auto">
              <a:xfrm>
                <a:off x="15140000" y="4500000"/>
                <a:ext cx="1740000" cy="0"/>
              </a:xfrm>
              <a:prstGeom prst="line">
                <a:avLst/>
              </a:prstGeom>
              <a:noFill/>
              <a:ln w="24765">
                <a:solidFill>
                  <a:srgbClr val="000000"/>
                </a:solidFill>
                <a:round/>
                <a:headEnd/>
                <a:tailEnd/>
              </a:ln>
              <a:extLst>
                <a:ext uri="{909E8E84-426E-40DD-AFC4-6F175D3DCCD1}">
                  <a14:hiddenFill xmlns="" xmlns:a14="http://schemas.microsoft.com/office/drawing/2010/main">
                    <a:noFill/>
                  </a14:hiddenFill>
                </a:ext>
              </a:extLst>
            </xdr:spPr>
          </xdr:sp>
        </xdr:grpSp>
        <xdr:sp macro="" textlink="">
          <xdr:nvSpPr>
            <xdr:cNvPr id="1239" name="Line 373"/>
            <xdr:cNvSpPr>
              <a:spLocks noChangeShapeType="1"/>
            </xdr:cNvSpPr>
          </xdr:nvSpPr>
          <xdr:spPr bwMode="auto">
            <a:xfrm>
              <a:off x="11980000" y="4200000"/>
              <a:ext cx="400000" cy="0"/>
            </a:xfrm>
            <a:prstGeom prst="line">
              <a:avLst/>
            </a:prstGeom>
            <a:noFill/>
            <a:ln w="17145">
              <a:solidFill>
                <a:srgbClr val="000000"/>
              </a:solidFill>
              <a:round/>
              <a:headEnd/>
              <a:tailEnd type="triangle" w="sm" len="sm"/>
            </a:ln>
            <a:extLst>
              <a:ext uri="{909E8E84-426E-40DD-AFC4-6F175D3DCCD1}">
                <a14:hiddenFill xmlns="" xmlns:a14="http://schemas.microsoft.com/office/drawing/2010/main">
                  <a:noFill/>
                </a14:hiddenFill>
              </a:ext>
            </a:extLst>
          </xdr:spPr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124"/>
  <sheetViews>
    <sheetView tabSelected="1"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0.67708333333333337</v>
      </c>
      <c r="D7" s="39"/>
      <c r="E7" s="40" t="s">
        <v>4</v>
      </c>
      <c r="F7" s="38">
        <f>C7+60/1440</f>
        <v>0.71875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0.70833333333333326</v>
      </c>
      <c r="D8" s="39"/>
      <c r="E8" s="40" t="s">
        <v>4</v>
      </c>
      <c r="F8" s="38">
        <f>Q61</f>
        <v>0.71874999999999989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0.75471698113207553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>
        <f>IF(L29="N/A","N/A",IF(C29="N/A","N/A",INDEX($B$63:$M$71,$R$64,12)))</f>
        <v>64</v>
      </c>
      <c r="D11" s="50">
        <f>IF(L29="N/A","N/A",IF(I29="N/A","N/A",INDEX($B$63:$M$71,$R$64,11)))</f>
        <v>47</v>
      </c>
      <c r="E11" s="51">
        <f>IF(L29="N/A","N/A",IF(F29="N/A","N/A",INDEX($B$63:$M$71,$R$64,10)))</f>
        <v>49</v>
      </c>
      <c r="F11" s="37"/>
      <c r="G11" s="37"/>
      <c r="H11" s="37"/>
      <c r="I11" s="15"/>
      <c r="J11" s="52">
        <f>IF(L29="N/A","N/A",L77)</f>
        <v>160</v>
      </c>
      <c r="K11" s="52">
        <f>IF(L29="N/A","N/A",L78)</f>
        <v>229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0.88864306784660763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>
        <f>IF(C29="N/A","N/A",IF(L29="N/A","N/A",INDEX($B$63:$M$71,$R$64,1)))</f>
        <v>106</v>
      </c>
      <c r="C15" s="37"/>
      <c r="D15" s="37"/>
      <c r="E15" s="37"/>
      <c r="F15" s="56">
        <f>IF(F29="N/A","N/A",IF(L29="N/A","N/A",INDEX($B$63:$M$71,$R$64,6)))</f>
        <v>48</v>
      </c>
      <c r="G15" s="37"/>
      <c r="H15" s="57">
        <f>IF(C29="N/A","N/A",C76)</f>
        <v>1034</v>
      </c>
      <c r="I15" s="37"/>
      <c r="J15" s="37"/>
      <c r="K15" s="37"/>
      <c r="L15" s="15"/>
      <c r="M15" s="58">
        <f>IF(F29="N/A","N/A",F77)</f>
        <v>1185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707</v>
      </c>
      <c r="C17" s="37"/>
      <c r="D17" s="37"/>
      <c r="E17" s="37"/>
      <c r="F17" s="61">
        <f>IF(F29="N/A","N/A",IF(C29="N/A","N/A",INDEX($B$63:$M$71,$R$64,5)))</f>
        <v>767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2986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>
        <f>IF(C29="N/A","N/A",IF(I29="N/A","N/A",INDEX($B$63:$M$71,$R$64,3)))</f>
        <v>392</v>
      </c>
      <c r="C19" s="37"/>
      <c r="D19" s="37"/>
      <c r="E19" s="37"/>
      <c r="F19" s="56">
        <f>IF(F29="N/A","N/A",IF(I29="N/A","N/A",INDEX($B$63:$M$71,$R$64,4)))</f>
        <v>370</v>
      </c>
      <c r="G19" s="37"/>
      <c r="H19" s="57">
        <f>IF(C29="N/A","N/A",C77)</f>
        <v>1205</v>
      </c>
      <c r="I19" s="37"/>
      <c r="J19" s="37"/>
      <c r="K19" s="37"/>
      <c r="L19" s="15"/>
      <c r="M19" s="58">
        <f>IF(F29="N/A","N/A",F78)</f>
        <v>914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0.80722070844686644</v>
      </c>
      <c r="N22" s="62"/>
      <c r="P22" s="5" t="s">
        <v>17</v>
      </c>
      <c r="Q22" s="42"/>
      <c r="R22" s="42"/>
    </row>
    <row r="23" spans="1:28" ht="30" customHeight="1">
      <c r="A23" s="48"/>
      <c r="B23" s="37"/>
      <c r="C23" s="49">
        <f>IF(I29="N/A","N/A",IF(C29="N/A","N/A",INDEX($B$63:$M$71,$R$64,7)))</f>
        <v>203</v>
      </c>
      <c r="D23" s="50">
        <f>IF(I29="N/A","N/A",IF(L29="N/A","N/A",INDEX($B$63:$M$71,$R$64,8)))</f>
        <v>75</v>
      </c>
      <c r="E23" s="51">
        <f>IF(I29="N/A","N/A",IF(F29="N/A","N/A",INDEX($B$63:$M$71,$R$64,9)))</f>
        <v>158</v>
      </c>
      <c r="F23" s="15"/>
      <c r="G23" s="65"/>
      <c r="H23" s="37"/>
      <c r="I23" s="37"/>
      <c r="J23" s="66">
        <f>IF(I29="N/A","N/A",I76)</f>
        <v>809</v>
      </c>
      <c r="K23" s="66">
        <f>IF(I29="N/A","N/A",I77)</f>
        <v>436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0.84496124031007747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0.86002304147465436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>
        <v>27</v>
      </c>
      <c r="C33" s="96">
        <v>152</v>
      </c>
      <c r="D33" s="96">
        <v>102</v>
      </c>
      <c r="E33" s="95">
        <v>89</v>
      </c>
      <c r="F33" s="96">
        <v>208</v>
      </c>
      <c r="G33" s="96">
        <v>19</v>
      </c>
      <c r="H33" s="95">
        <v>74</v>
      </c>
      <c r="I33" s="96">
        <v>16</v>
      </c>
      <c r="J33" s="96">
        <v>33</v>
      </c>
      <c r="K33" s="95">
        <v>17</v>
      </c>
      <c r="L33" s="96">
        <v>17</v>
      </c>
      <c r="M33" s="96">
        <v>22</v>
      </c>
      <c r="N33" s="97">
        <f t="shared" ref="N33:N40" si="0">IF(SUM(B33:M33)&lt;=0,"",SUM(B33:M33))</f>
        <v>776</v>
      </c>
      <c r="O33" s="84"/>
      <c r="P33" s="84"/>
      <c r="Q33" s="98"/>
    </row>
    <row r="34" spans="1:28" s="83" customFormat="1">
      <c r="A34" s="94">
        <v>0.6875</v>
      </c>
      <c r="B34" s="95">
        <v>68</v>
      </c>
      <c r="C34" s="96">
        <v>335</v>
      </c>
      <c r="D34" s="96">
        <v>182</v>
      </c>
      <c r="E34" s="95">
        <v>178</v>
      </c>
      <c r="F34" s="96">
        <v>367</v>
      </c>
      <c r="G34" s="96">
        <v>29</v>
      </c>
      <c r="H34" s="95">
        <v>136</v>
      </c>
      <c r="I34" s="96">
        <v>41</v>
      </c>
      <c r="J34" s="96">
        <v>75</v>
      </c>
      <c r="K34" s="95">
        <v>27</v>
      </c>
      <c r="L34" s="96">
        <v>23</v>
      </c>
      <c r="M34" s="96">
        <v>36</v>
      </c>
      <c r="N34" s="97">
        <f t="shared" si="0"/>
        <v>1497</v>
      </c>
      <c r="O34" s="84"/>
      <c r="P34" s="84"/>
      <c r="Q34" s="98"/>
    </row>
    <row r="35" spans="1:28" s="83" customFormat="1">
      <c r="A35" s="94">
        <v>0.69791666666666663</v>
      </c>
      <c r="B35" s="95">
        <v>90</v>
      </c>
      <c r="C35" s="96">
        <v>498</v>
      </c>
      <c r="D35" s="96">
        <v>285</v>
      </c>
      <c r="E35" s="95">
        <v>264</v>
      </c>
      <c r="F35" s="96">
        <v>551</v>
      </c>
      <c r="G35" s="96">
        <v>42</v>
      </c>
      <c r="H35" s="95">
        <v>173</v>
      </c>
      <c r="I35" s="96">
        <v>50</v>
      </c>
      <c r="J35" s="96">
        <v>110</v>
      </c>
      <c r="K35" s="95">
        <v>43</v>
      </c>
      <c r="L35" s="96">
        <v>32</v>
      </c>
      <c r="M35" s="96">
        <v>48</v>
      </c>
      <c r="N35" s="97">
        <f t="shared" si="0"/>
        <v>2186</v>
      </c>
      <c r="O35" s="84"/>
      <c r="P35" s="84"/>
      <c r="Q35" s="98"/>
    </row>
    <row r="36" spans="1:28" s="76" customFormat="1">
      <c r="A36" s="94">
        <v>0.70833333333333304</v>
      </c>
      <c r="B36" s="95">
        <v>110</v>
      </c>
      <c r="C36" s="96">
        <v>670</v>
      </c>
      <c r="D36" s="96">
        <v>367</v>
      </c>
      <c r="E36" s="95">
        <v>351</v>
      </c>
      <c r="F36" s="96">
        <v>731</v>
      </c>
      <c r="G36" s="96">
        <v>52</v>
      </c>
      <c r="H36" s="95">
        <v>222</v>
      </c>
      <c r="I36" s="96">
        <v>76</v>
      </c>
      <c r="J36" s="96">
        <v>152</v>
      </c>
      <c r="K36" s="95">
        <v>51</v>
      </c>
      <c r="L36" s="96">
        <v>43</v>
      </c>
      <c r="M36" s="96">
        <v>69</v>
      </c>
      <c r="N36" s="97">
        <f t="shared" si="0"/>
        <v>2894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>
        <v>133</v>
      </c>
      <c r="C37" s="96">
        <v>859</v>
      </c>
      <c r="D37" s="96">
        <v>494</v>
      </c>
      <c r="E37" s="95">
        <v>459</v>
      </c>
      <c r="F37" s="96">
        <v>975</v>
      </c>
      <c r="G37" s="96">
        <v>67</v>
      </c>
      <c r="H37" s="95">
        <v>277</v>
      </c>
      <c r="I37" s="96">
        <v>91</v>
      </c>
      <c r="J37" s="96">
        <v>191</v>
      </c>
      <c r="K37" s="95">
        <v>66</v>
      </c>
      <c r="L37" s="96">
        <v>64</v>
      </c>
      <c r="M37" s="96">
        <v>86</v>
      </c>
      <c r="N37" s="97">
        <f t="shared" si="0"/>
        <v>3762</v>
      </c>
      <c r="O37" s="84"/>
      <c r="P37" s="84"/>
      <c r="Q37" s="98"/>
    </row>
    <row r="38" spans="1:28" s="83" customFormat="1">
      <c r="A38" s="94">
        <v>0.72916666666666696</v>
      </c>
      <c r="B38" s="95">
        <v>156</v>
      </c>
      <c r="C38" s="96">
        <v>1001</v>
      </c>
      <c r="D38" s="96">
        <v>577</v>
      </c>
      <c r="E38" s="95">
        <v>570</v>
      </c>
      <c r="F38" s="96">
        <v>1163</v>
      </c>
      <c r="G38" s="96">
        <v>88</v>
      </c>
      <c r="H38" s="95">
        <v>316</v>
      </c>
      <c r="I38" s="96">
        <v>111</v>
      </c>
      <c r="J38" s="96">
        <v>217</v>
      </c>
      <c r="K38" s="95">
        <v>78</v>
      </c>
      <c r="L38" s="96">
        <v>70</v>
      </c>
      <c r="M38" s="96">
        <v>99</v>
      </c>
      <c r="N38" s="97">
        <f t="shared" si="0"/>
        <v>4446</v>
      </c>
      <c r="O38" s="84"/>
      <c r="P38" s="84"/>
      <c r="Q38" s="98"/>
    </row>
    <row r="39" spans="1:28" s="83" customFormat="1">
      <c r="A39" s="94">
        <v>0.73958333333333304</v>
      </c>
      <c r="B39" s="95">
        <v>183</v>
      </c>
      <c r="C39" s="96">
        <v>1130</v>
      </c>
      <c r="D39" s="96">
        <v>690</v>
      </c>
      <c r="E39" s="95">
        <v>662</v>
      </c>
      <c r="F39" s="96">
        <v>1285</v>
      </c>
      <c r="G39" s="96">
        <v>108</v>
      </c>
      <c r="H39" s="95">
        <v>350</v>
      </c>
      <c r="I39" s="96">
        <v>130</v>
      </c>
      <c r="J39" s="96">
        <v>243</v>
      </c>
      <c r="K39" s="95">
        <v>82</v>
      </c>
      <c r="L39" s="96">
        <v>86</v>
      </c>
      <c r="M39" s="96">
        <v>109</v>
      </c>
      <c r="N39" s="97">
        <f t="shared" si="0"/>
        <v>5058</v>
      </c>
      <c r="O39" s="84"/>
      <c r="P39" s="84"/>
      <c r="Q39" s="98" t="s">
        <v>17</v>
      </c>
    </row>
    <row r="40" spans="1:28" s="83" customFormat="1">
      <c r="A40" s="94">
        <v>0.75</v>
      </c>
      <c r="B40" s="95">
        <v>210</v>
      </c>
      <c r="C40" s="96">
        <v>1225</v>
      </c>
      <c r="D40" s="96">
        <v>760</v>
      </c>
      <c r="E40" s="95">
        <v>739</v>
      </c>
      <c r="F40" s="96">
        <v>1402</v>
      </c>
      <c r="G40" s="96">
        <v>122</v>
      </c>
      <c r="H40" s="95">
        <v>399</v>
      </c>
      <c r="I40" s="96">
        <v>159</v>
      </c>
      <c r="J40" s="96">
        <v>272</v>
      </c>
      <c r="K40" s="95">
        <v>89</v>
      </c>
      <c r="L40" s="96">
        <v>99</v>
      </c>
      <c r="M40" s="96">
        <v>119</v>
      </c>
      <c r="N40" s="97">
        <f t="shared" si="0"/>
        <v>5595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>
        <f>IF(B33="","",B33)</f>
        <v>27</v>
      </c>
      <c r="C48" s="43">
        <f>IF(C33="","",C33)</f>
        <v>152</v>
      </c>
      <c r="D48" s="43">
        <f>IF(D33="","",D33)</f>
        <v>102</v>
      </c>
      <c r="E48" s="99">
        <f t="shared" ref="E48:M48" si="1">IF(E33="","",E33)</f>
        <v>89</v>
      </c>
      <c r="F48" s="43">
        <f t="shared" si="1"/>
        <v>208</v>
      </c>
      <c r="G48" s="43">
        <f t="shared" si="1"/>
        <v>19</v>
      </c>
      <c r="H48" s="99">
        <f t="shared" si="1"/>
        <v>74</v>
      </c>
      <c r="I48" s="43">
        <f t="shared" si="1"/>
        <v>16</v>
      </c>
      <c r="J48" s="43">
        <f t="shared" si="1"/>
        <v>33</v>
      </c>
      <c r="K48" s="99">
        <f t="shared" si="1"/>
        <v>17</v>
      </c>
      <c r="L48" s="43">
        <f t="shared" si="1"/>
        <v>17</v>
      </c>
      <c r="M48" s="43">
        <f t="shared" si="1"/>
        <v>22</v>
      </c>
      <c r="N48" s="97">
        <f t="shared" ref="N48:N58" si="2">IF(SUM(B48:M48)&lt;=0,"",SUM(B48:M48))</f>
        <v>776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281</v>
      </c>
      <c r="S48" s="106">
        <f t="shared" ref="S48:S59" si="5">SUM(E48:G48)</f>
        <v>316</v>
      </c>
      <c r="T48" s="106">
        <f t="shared" ref="T48:T59" si="6">SUM(H48:J48)</f>
        <v>123</v>
      </c>
      <c r="U48" s="106">
        <f t="shared" ref="U48:U59" si="7">SUM(K48:M48)</f>
        <v>56</v>
      </c>
      <c r="V48" s="106">
        <f t="shared" ref="V48:V59" si="8">SUM(R48:U48)</f>
        <v>776</v>
      </c>
      <c r="W48" s="107">
        <f>MATCH(S64,Q47:Q59,0)</f>
        <v>2</v>
      </c>
    </row>
    <row r="49" spans="1:23" s="83" customFormat="1">
      <c r="A49" s="94">
        <f t="shared" ref="A49:A59" si="9">IF(A34="","",A48+15/1440)</f>
        <v>0.6875</v>
      </c>
      <c r="B49" s="99">
        <f t="shared" ref="B49:M59" si="10">IF(B34="","",B34-B33)</f>
        <v>41</v>
      </c>
      <c r="C49" s="43">
        <f t="shared" si="10"/>
        <v>183</v>
      </c>
      <c r="D49" s="43">
        <f t="shared" si="10"/>
        <v>80</v>
      </c>
      <c r="E49" s="99">
        <f t="shared" si="10"/>
        <v>89</v>
      </c>
      <c r="F49" s="43">
        <f t="shared" si="10"/>
        <v>159</v>
      </c>
      <c r="G49" s="43">
        <f t="shared" si="10"/>
        <v>10</v>
      </c>
      <c r="H49" s="99">
        <f t="shared" si="10"/>
        <v>62</v>
      </c>
      <c r="I49" s="43">
        <f t="shared" si="10"/>
        <v>25</v>
      </c>
      <c r="J49" s="43">
        <f t="shared" si="10"/>
        <v>42</v>
      </c>
      <c r="K49" s="99">
        <f t="shared" si="10"/>
        <v>10</v>
      </c>
      <c r="L49" s="43">
        <f t="shared" si="10"/>
        <v>6</v>
      </c>
      <c r="M49" s="43">
        <f t="shared" si="10"/>
        <v>14</v>
      </c>
      <c r="N49" s="97">
        <f t="shared" si="2"/>
        <v>721</v>
      </c>
      <c r="O49" s="84"/>
      <c r="P49" s="84"/>
      <c r="Q49" s="98">
        <f t="shared" si="3"/>
        <v>0.6875</v>
      </c>
      <c r="R49" s="106">
        <f t="shared" si="4"/>
        <v>304</v>
      </c>
      <c r="S49" s="106">
        <f t="shared" si="5"/>
        <v>258</v>
      </c>
      <c r="T49" s="106">
        <f t="shared" si="6"/>
        <v>129</v>
      </c>
      <c r="U49" s="106">
        <f t="shared" si="7"/>
        <v>30</v>
      </c>
      <c r="V49" s="106">
        <f t="shared" si="8"/>
        <v>721</v>
      </c>
      <c r="W49" s="107">
        <f>W48+1</f>
        <v>3</v>
      </c>
    </row>
    <row r="50" spans="1:23" s="83" customFormat="1">
      <c r="A50" s="94">
        <f t="shared" si="9"/>
        <v>0.69791666666666663</v>
      </c>
      <c r="B50" s="99">
        <f t="shared" si="10"/>
        <v>22</v>
      </c>
      <c r="C50" s="43">
        <f t="shared" si="10"/>
        <v>163</v>
      </c>
      <c r="D50" s="43">
        <f t="shared" si="10"/>
        <v>103</v>
      </c>
      <c r="E50" s="99">
        <f t="shared" si="10"/>
        <v>86</v>
      </c>
      <c r="F50" s="43">
        <f t="shared" si="10"/>
        <v>184</v>
      </c>
      <c r="G50" s="43">
        <f t="shared" si="10"/>
        <v>13</v>
      </c>
      <c r="H50" s="99">
        <f t="shared" si="10"/>
        <v>37</v>
      </c>
      <c r="I50" s="43">
        <f t="shared" si="10"/>
        <v>9</v>
      </c>
      <c r="J50" s="43">
        <f t="shared" si="10"/>
        <v>35</v>
      </c>
      <c r="K50" s="99">
        <f t="shared" si="10"/>
        <v>16</v>
      </c>
      <c r="L50" s="43">
        <f t="shared" si="10"/>
        <v>9</v>
      </c>
      <c r="M50" s="43">
        <f t="shared" si="10"/>
        <v>12</v>
      </c>
      <c r="N50" s="97">
        <f t="shared" si="2"/>
        <v>689</v>
      </c>
      <c r="O50" s="84"/>
      <c r="P50" s="84"/>
      <c r="Q50" s="98">
        <f t="shared" si="3"/>
        <v>0.69791666666666663</v>
      </c>
      <c r="R50" s="106">
        <f t="shared" si="4"/>
        <v>288</v>
      </c>
      <c r="S50" s="106">
        <f t="shared" si="5"/>
        <v>283</v>
      </c>
      <c r="T50" s="106">
        <f t="shared" si="6"/>
        <v>81</v>
      </c>
      <c r="U50" s="106">
        <f t="shared" si="7"/>
        <v>37</v>
      </c>
      <c r="V50" s="106">
        <f t="shared" si="8"/>
        <v>689</v>
      </c>
      <c r="W50" s="107">
        <f>W49+1</f>
        <v>4</v>
      </c>
    </row>
    <row r="51" spans="1:23" s="83" customFormat="1">
      <c r="A51" s="94">
        <f t="shared" si="9"/>
        <v>0.70833333333333326</v>
      </c>
      <c r="B51" s="99">
        <f t="shared" si="10"/>
        <v>20</v>
      </c>
      <c r="C51" s="43">
        <f t="shared" si="10"/>
        <v>172</v>
      </c>
      <c r="D51" s="43">
        <f t="shared" si="10"/>
        <v>82</v>
      </c>
      <c r="E51" s="99">
        <f t="shared" si="10"/>
        <v>87</v>
      </c>
      <c r="F51" s="43">
        <f t="shared" si="10"/>
        <v>180</v>
      </c>
      <c r="G51" s="43">
        <f t="shared" si="10"/>
        <v>10</v>
      </c>
      <c r="H51" s="99">
        <f t="shared" si="10"/>
        <v>49</v>
      </c>
      <c r="I51" s="43">
        <f t="shared" si="10"/>
        <v>26</v>
      </c>
      <c r="J51" s="43">
        <f t="shared" si="10"/>
        <v>42</v>
      </c>
      <c r="K51" s="99">
        <f t="shared" si="10"/>
        <v>8</v>
      </c>
      <c r="L51" s="43">
        <f t="shared" si="10"/>
        <v>11</v>
      </c>
      <c r="M51" s="43">
        <f t="shared" si="10"/>
        <v>21</v>
      </c>
      <c r="N51" s="97">
        <f t="shared" si="2"/>
        <v>708</v>
      </c>
      <c r="O51" s="84"/>
      <c r="P51" s="84"/>
      <c r="Q51" s="98">
        <f t="shared" si="3"/>
        <v>0.70833333333333326</v>
      </c>
      <c r="R51" s="106">
        <f t="shared" si="4"/>
        <v>274</v>
      </c>
      <c r="S51" s="106">
        <f t="shared" si="5"/>
        <v>277</v>
      </c>
      <c r="T51" s="106">
        <f t="shared" si="6"/>
        <v>117</v>
      </c>
      <c r="U51" s="106">
        <f t="shared" si="7"/>
        <v>40</v>
      </c>
      <c r="V51" s="106">
        <f t="shared" si="8"/>
        <v>708</v>
      </c>
      <c r="W51" s="107">
        <f>W50+1</f>
        <v>5</v>
      </c>
    </row>
    <row r="52" spans="1:23" s="83" customFormat="1">
      <c r="A52" s="94">
        <f t="shared" si="9"/>
        <v>0.71874999999999989</v>
      </c>
      <c r="B52" s="99">
        <f t="shared" si="10"/>
        <v>23</v>
      </c>
      <c r="C52" s="43">
        <f t="shared" si="10"/>
        <v>189</v>
      </c>
      <c r="D52" s="43">
        <f t="shared" si="10"/>
        <v>127</v>
      </c>
      <c r="E52" s="99">
        <f t="shared" si="10"/>
        <v>108</v>
      </c>
      <c r="F52" s="43">
        <f t="shared" si="10"/>
        <v>244</v>
      </c>
      <c r="G52" s="43">
        <f t="shared" si="10"/>
        <v>15</v>
      </c>
      <c r="H52" s="99">
        <f t="shared" si="10"/>
        <v>55</v>
      </c>
      <c r="I52" s="43">
        <f t="shared" si="10"/>
        <v>15</v>
      </c>
      <c r="J52" s="43">
        <f t="shared" si="10"/>
        <v>39</v>
      </c>
      <c r="K52" s="99">
        <f t="shared" si="10"/>
        <v>15</v>
      </c>
      <c r="L52" s="43">
        <f t="shared" si="10"/>
        <v>21</v>
      </c>
      <c r="M52" s="43">
        <f t="shared" si="10"/>
        <v>17</v>
      </c>
      <c r="N52" s="97">
        <f t="shared" si="2"/>
        <v>868</v>
      </c>
      <c r="O52" s="84"/>
      <c r="P52" s="84"/>
      <c r="Q52" s="98">
        <f t="shared" si="3"/>
        <v>0.71874999999999989</v>
      </c>
      <c r="R52" s="106">
        <f t="shared" si="4"/>
        <v>339</v>
      </c>
      <c r="S52" s="106">
        <f t="shared" si="5"/>
        <v>367</v>
      </c>
      <c r="T52" s="106">
        <f t="shared" si="6"/>
        <v>109</v>
      </c>
      <c r="U52" s="106">
        <f t="shared" si="7"/>
        <v>53</v>
      </c>
      <c r="V52" s="106">
        <f t="shared" si="8"/>
        <v>868</v>
      </c>
    </row>
    <row r="53" spans="1:23" s="83" customFormat="1">
      <c r="A53" s="94">
        <f t="shared" si="9"/>
        <v>0.72916666666666652</v>
      </c>
      <c r="B53" s="99">
        <f t="shared" si="10"/>
        <v>23</v>
      </c>
      <c r="C53" s="43">
        <f t="shared" si="10"/>
        <v>142</v>
      </c>
      <c r="D53" s="43">
        <f t="shared" si="10"/>
        <v>83</v>
      </c>
      <c r="E53" s="99">
        <f t="shared" si="10"/>
        <v>111</v>
      </c>
      <c r="F53" s="43">
        <f t="shared" si="10"/>
        <v>188</v>
      </c>
      <c r="G53" s="43">
        <f t="shared" si="10"/>
        <v>21</v>
      </c>
      <c r="H53" s="99">
        <f t="shared" si="10"/>
        <v>39</v>
      </c>
      <c r="I53" s="43">
        <f t="shared" si="10"/>
        <v>20</v>
      </c>
      <c r="J53" s="43">
        <f t="shared" si="10"/>
        <v>26</v>
      </c>
      <c r="K53" s="99">
        <f t="shared" si="10"/>
        <v>12</v>
      </c>
      <c r="L53" s="43">
        <f t="shared" si="10"/>
        <v>6</v>
      </c>
      <c r="M53" s="43">
        <f t="shared" si="10"/>
        <v>13</v>
      </c>
      <c r="N53" s="97">
        <f t="shared" si="2"/>
        <v>684</v>
      </c>
      <c r="O53" s="84"/>
      <c r="P53" s="84"/>
      <c r="Q53" s="98">
        <f t="shared" si="3"/>
        <v>0.72916666666666652</v>
      </c>
      <c r="R53" s="106">
        <f t="shared" si="4"/>
        <v>248</v>
      </c>
      <c r="S53" s="106">
        <f t="shared" si="5"/>
        <v>320</v>
      </c>
      <c r="T53" s="106">
        <f t="shared" si="6"/>
        <v>85</v>
      </c>
      <c r="U53" s="106">
        <f t="shared" si="7"/>
        <v>31</v>
      </c>
      <c r="V53" s="106">
        <f t="shared" si="8"/>
        <v>684</v>
      </c>
    </row>
    <row r="54" spans="1:23" s="83" customFormat="1">
      <c r="A54" s="94">
        <f t="shared" si="9"/>
        <v>0.73958333333333315</v>
      </c>
      <c r="B54" s="99">
        <f t="shared" si="10"/>
        <v>27</v>
      </c>
      <c r="C54" s="43">
        <f t="shared" si="10"/>
        <v>129</v>
      </c>
      <c r="D54" s="43">
        <f t="shared" si="10"/>
        <v>113</v>
      </c>
      <c r="E54" s="99">
        <f t="shared" si="10"/>
        <v>92</v>
      </c>
      <c r="F54" s="43">
        <f t="shared" si="10"/>
        <v>122</v>
      </c>
      <c r="G54" s="43">
        <f t="shared" si="10"/>
        <v>20</v>
      </c>
      <c r="H54" s="99">
        <f t="shared" si="10"/>
        <v>34</v>
      </c>
      <c r="I54" s="43">
        <f t="shared" si="10"/>
        <v>19</v>
      </c>
      <c r="J54" s="43">
        <f t="shared" si="10"/>
        <v>26</v>
      </c>
      <c r="K54" s="99">
        <f t="shared" si="10"/>
        <v>4</v>
      </c>
      <c r="L54" s="43">
        <f t="shared" si="10"/>
        <v>16</v>
      </c>
      <c r="M54" s="43">
        <f t="shared" si="10"/>
        <v>10</v>
      </c>
      <c r="N54" s="97">
        <f t="shared" si="2"/>
        <v>612</v>
      </c>
      <c r="O54" s="84"/>
      <c r="P54" s="84"/>
      <c r="Q54" s="98">
        <f t="shared" si="3"/>
        <v>0.73958333333333315</v>
      </c>
      <c r="R54" s="106">
        <f t="shared" si="4"/>
        <v>269</v>
      </c>
      <c r="S54" s="106">
        <f t="shared" si="5"/>
        <v>234</v>
      </c>
      <c r="T54" s="106">
        <f t="shared" si="6"/>
        <v>79</v>
      </c>
      <c r="U54" s="106">
        <f t="shared" si="7"/>
        <v>30</v>
      </c>
      <c r="V54" s="106">
        <f t="shared" si="8"/>
        <v>612</v>
      </c>
    </row>
    <row r="55" spans="1:23" s="83" customFormat="1">
      <c r="A55" s="94">
        <f t="shared" si="9"/>
        <v>0.74999999999999978</v>
      </c>
      <c r="B55" s="99">
        <f t="shared" si="10"/>
        <v>27</v>
      </c>
      <c r="C55" s="43">
        <f t="shared" si="10"/>
        <v>95</v>
      </c>
      <c r="D55" s="43">
        <f t="shared" si="10"/>
        <v>70</v>
      </c>
      <c r="E55" s="99">
        <f t="shared" si="10"/>
        <v>77</v>
      </c>
      <c r="F55" s="43">
        <f t="shared" si="10"/>
        <v>117</v>
      </c>
      <c r="G55" s="43">
        <f t="shared" si="10"/>
        <v>14</v>
      </c>
      <c r="H55" s="99">
        <f t="shared" si="10"/>
        <v>49</v>
      </c>
      <c r="I55" s="43">
        <f t="shared" si="10"/>
        <v>29</v>
      </c>
      <c r="J55" s="43">
        <f t="shared" si="10"/>
        <v>29</v>
      </c>
      <c r="K55" s="99">
        <f t="shared" si="10"/>
        <v>7</v>
      </c>
      <c r="L55" s="43">
        <f t="shared" si="10"/>
        <v>13</v>
      </c>
      <c r="M55" s="43">
        <f t="shared" si="10"/>
        <v>10</v>
      </c>
      <c r="N55" s="97">
        <f t="shared" si="2"/>
        <v>537</v>
      </c>
      <c r="O55" s="84"/>
      <c r="P55" s="84"/>
      <c r="Q55" s="98">
        <f t="shared" si="3"/>
        <v>0.74999999999999978</v>
      </c>
      <c r="R55" s="106">
        <f t="shared" si="4"/>
        <v>192</v>
      </c>
      <c r="S55" s="106">
        <f t="shared" si="5"/>
        <v>208</v>
      </c>
      <c r="T55" s="106">
        <f t="shared" si="6"/>
        <v>107</v>
      </c>
      <c r="U55" s="106">
        <f t="shared" si="7"/>
        <v>30</v>
      </c>
      <c r="V55" s="106">
        <f t="shared" si="8"/>
        <v>537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0.71874999999999989</v>
      </c>
      <c r="R61" s="106">
        <f>MAX(INDEX(R48:V59,W48,1),INDEX(R48:V59,W49,1),INDEX(R48:V59,W50,1),INDEX(R48:V59,W51,1))</f>
        <v>339</v>
      </c>
      <c r="S61" s="106">
        <f>MAX(INDEX(R48:V59,W48,2),INDEX(R48:V59,W49,2),INDEX(R48:V59,W50,2),INDEX(R48:V59,W51,2))</f>
        <v>367</v>
      </c>
      <c r="T61" s="106">
        <f>MAX(INDEX(R48:V59,W48,3),INDEX(R48:V59,W49,3),INDEX(R48:V59,W50,3),INDEX(R48:V59,W51,3))</f>
        <v>129</v>
      </c>
      <c r="U61" s="106">
        <f>MAX(INDEX(R48:V59,W48,4),INDEX(R48:V59,W49,4),INDEX(R48:V59,W50,4),INDEX(R48:V59,W51,4))</f>
        <v>53</v>
      </c>
      <c r="V61" s="106">
        <f>MAX(INDEX(V48:V59,W48,1),INDEX(V48:V59,W49,1),INDEX(V48:V59,W50,1),INDEX(V48:V59,W51,1))</f>
        <v>868</v>
      </c>
      <c r="W61" s="83">
        <f>MATCH(V61,V48:V59,0)</f>
        <v>5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>
        <f t="shared" ref="B63:M63" si="11">IF(B33="","",IF($A$63&lt;&gt;"",SUM(B48:B51),""))</f>
        <v>110</v>
      </c>
      <c r="C63" s="43">
        <f t="shared" si="11"/>
        <v>670</v>
      </c>
      <c r="D63" s="43">
        <f t="shared" si="11"/>
        <v>367</v>
      </c>
      <c r="E63" s="99">
        <f t="shared" si="11"/>
        <v>351</v>
      </c>
      <c r="F63" s="43">
        <f t="shared" si="11"/>
        <v>731</v>
      </c>
      <c r="G63" s="43">
        <f t="shared" si="11"/>
        <v>52</v>
      </c>
      <c r="H63" s="99">
        <f t="shared" si="11"/>
        <v>222</v>
      </c>
      <c r="I63" s="43">
        <f t="shared" si="11"/>
        <v>76</v>
      </c>
      <c r="J63" s="43">
        <f t="shared" si="11"/>
        <v>152</v>
      </c>
      <c r="K63" s="99">
        <f t="shared" si="11"/>
        <v>51</v>
      </c>
      <c r="L63" s="43">
        <f t="shared" si="11"/>
        <v>43</v>
      </c>
      <c r="M63" s="43">
        <f t="shared" si="11"/>
        <v>69</v>
      </c>
      <c r="N63" s="97">
        <f t="shared" ref="N63:N71" si="12">IF(SUM(B63:M63)&lt;=0,"",SUM(B63:M63))</f>
        <v>2894</v>
      </c>
      <c r="O63" s="84"/>
      <c r="P63" s="84"/>
      <c r="Q63" s="98">
        <f t="shared" ref="Q63:Q71" si="13">$A63</f>
        <v>0.66666666666666674</v>
      </c>
      <c r="R63" s="83">
        <f>MAX(N63:N71)</f>
        <v>2986</v>
      </c>
    </row>
    <row r="64" spans="1:23" s="76" customFormat="1">
      <c r="A64" s="94">
        <f t="shared" ref="A64:A71" si="14">IF(A63="","",IF(A52="","",A63+15/1440))</f>
        <v>0.67708333333333337</v>
      </c>
      <c r="B64" s="99">
        <f>IF($A$64="","",IF(B52&lt;&gt;"",SUM(B49:B52),""))</f>
        <v>106</v>
      </c>
      <c r="C64" s="43">
        <f>IF($A$64="","",IF(C52&lt;&gt;"",SUM(C49:C52),""))</f>
        <v>707</v>
      </c>
      <c r="D64" s="43">
        <f t="shared" ref="D64:M64" si="15">IF($A$64="","",IF(D52&lt;&gt;"",SUM(D49:D52),""))</f>
        <v>392</v>
      </c>
      <c r="E64" s="99">
        <f t="shared" si="15"/>
        <v>370</v>
      </c>
      <c r="F64" s="43">
        <f t="shared" si="15"/>
        <v>767</v>
      </c>
      <c r="G64" s="43">
        <f t="shared" si="15"/>
        <v>48</v>
      </c>
      <c r="H64" s="99">
        <f t="shared" si="15"/>
        <v>203</v>
      </c>
      <c r="I64" s="43">
        <f t="shared" si="15"/>
        <v>75</v>
      </c>
      <c r="J64" s="43">
        <f t="shared" si="15"/>
        <v>158</v>
      </c>
      <c r="K64" s="99">
        <f t="shared" si="15"/>
        <v>49</v>
      </c>
      <c r="L64" s="43">
        <f t="shared" si="15"/>
        <v>47</v>
      </c>
      <c r="M64" s="43">
        <f t="shared" si="15"/>
        <v>64</v>
      </c>
      <c r="N64" s="97">
        <f t="shared" si="12"/>
        <v>2986</v>
      </c>
      <c r="O64" s="84"/>
      <c r="P64" s="84"/>
      <c r="Q64" s="98">
        <f t="shared" si="13"/>
        <v>0.67708333333333337</v>
      </c>
      <c r="R64" s="83">
        <f>MATCH(R63,N63:N71,0)</f>
        <v>2</v>
      </c>
      <c r="S64" s="98">
        <f>INDEX(Q63:Q71,R64,1)</f>
        <v>0.67708333333333337</v>
      </c>
      <c r="T64" s="83"/>
    </row>
    <row r="65" spans="1:20" s="83" customFormat="1">
      <c r="A65" s="94">
        <f t="shared" si="14"/>
        <v>0.6875</v>
      </c>
      <c r="B65" s="99">
        <f>IF($A$65="","",IF(B53&lt;&gt;"",SUM(B50:B53),""))</f>
        <v>88</v>
      </c>
      <c r="C65" s="43">
        <f>IF($A$65="","",IF(C53&lt;&gt;"",SUM(C50:C53),""))</f>
        <v>666</v>
      </c>
      <c r="D65" s="43">
        <f t="shared" ref="D65:M65" si="16">IF($A$65="","",IF(D53&lt;&gt;"",SUM(D50:D53),""))</f>
        <v>395</v>
      </c>
      <c r="E65" s="99">
        <f t="shared" si="16"/>
        <v>392</v>
      </c>
      <c r="F65" s="43">
        <f t="shared" si="16"/>
        <v>796</v>
      </c>
      <c r="G65" s="43">
        <f t="shared" si="16"/>
        <v>59</v>
      </c>
      <c r="H65" s="99">
        <f t="shared" si="16"/>
        <v>180</v>
      </c>
      <c r="I65" s="43">
        <f t="shared" si="16"/>
        <v>70</v>
      </c>
      <c r="J65" s="43">
        <f t="shared" si="16"/>
        <v>142</v>
      </c>
      <c r="K65" s="99">
        <f t="shared" si="16"/>
        <v>51</v>
      </c>
      <c r="L65" s="43">
        <f t="shared" si="16"/>
        <v>47</v>
      </c>
      <c r="M65" s="43">
        <f t="shared" si="16"/>
        <v>63</v>
      </c>
      <c r="N65" s="97">
        <f t="shared" si="12"/>
        <v>2949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>
        <f>IF($A$64="","",IF(B54&lt;&gt;"",SUM(B51:B54),""))</f>
        <v>93</v>
      </c>
      <c r="C66" s="43">
        <f>IF($A$64="","",IF(C54&lt;&gt;"",SUM(C51:C54),""))</f>
        <v>632</v>
      </c>
      <c r="D66" s="43">
        <f t="shared" ref="D66:M66" si="17">IF($A$64="","",IF(D54&lt;&gt;"",SUM(D51:D54),""))</f>
        <v>405</v>
      </c>
      <c r="E66" s="99">
        <f t="shared" si="17"/>
        <v>398</v>
      </c>
      <c r="F66" s="43">
        <f t="shared" si="17"/>
        <v>734</v>
      </c>
      <c r="G66" s="43">
        <f t="shared" si="17"/>
        <v>66</v>
      </c>
      <c r="H66" s="99">
        <f t="shared" si="17"/>
        <v>177</v>
      </c>
      <c r="I66" s="43">
        <f t="shared" si="17"/>
        <v>80</v>
      </c>
      <c r="J66" s="43">
        <f t="shared" si="17"/>
        <v>133</v>
      </c>
      <c r="K66" s="99">
        <f t="shared" si="17"/>
        <v>39</v>
      </c>
      <c r="L66" s="43">
        <f t="shared" si="17"/>
        <v>54</v>
      </c>
      <c r="M66" s="43">
        <f t="shared" si="17"/>
        <v>61</v>
      </c>
      <c r="N66" s="97">
        <f>IF(SUM(B66:M66)&lt;=0,"",SUM(B66:M66))</f>
        <v>2872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>
        <f>IF($A$65="","",IF(B55&lt;&gt;"",SUM(B52:B55),""))</f>
        <v>100</v>
      </c>
      <c r="C67" s="43">
        <f>IF($A$65="","",IF(C55&lt;&gt;"",SUM(C52:C55),""))</f>
        <v>555</v>
      </c>
      <c r="D67" s="43">
        <f t="shared" ref="D67:M67" si="18">IF($A$65="","",IF(D55&lt;&gt;"",SUM(D52:D55),""))</f>
        <v>393</v>
      </c>
      <c r="E67" s="99">
        <f t="shared" si="18"/>
        <v>388</v>
      </c>
      <c r="F67" s="43">
        <f t="shared" si="18"/>
        <v>671</v>
      </c>
      <c r="G67" s="43">
        <f t="shared" si="18"/>
        <v>70</v>
      </c>
      <c r="H67" s="99">
        <f t="shared" si="18"/>
        <v>177</v>
      </c>
      <c r="I67" s="43">
        <f t="shared" si="18"/>
        <v>83</v>
      </c>
      <c r="J67" s="43">
        <f t="shared" si="18"/>
        <v>120</v>
      </c>
      <c r="K67" s="99">
        <f t="shared" si="18"/>
        <v>38</v>
      </c>
      <c r="L67" s="43">
        <f t="shared" si="18"/>
        <v>56</v>
      </c>
      <c r="M67" s="43">
        <f t="shared" si="18"/>
        <v>50</v>
      </c>
      <c r="N67" s="97">
        <f>IF(SUM(B67:M67)&lt;=0,"",SUM(B67:M67))</f>
        <v>2701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1034</v>
      </c>
      <c r="I76" s="56">
        <f>IF(D33="",0,INDEX($B$63:$M$71,$R$64,3))+IF(E33="",0,INDEX($B$63:$M$71,$R$64,4))+IF(L33="",0,INDEX($B$63:$M$71,$R$64,11))</f>
        <v>809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1205</v>
      </c>
      <c r="F77" s="56">
        <f>IF(E33="",0,INDEX($B$63:$M$71,$R$64,4))+IF(F33="",0,INDEX($B$63:$M$71,$R$64,5))+IF(G33="",0,INDEX($B$63:$M$71,$R$64,6))</f>
        <v>1185</v>
      </c>
      <c r="I77" s="56">
        <f>IF(H33="",0,INDEX($B$63:$M$71,$R$64,7))+IF(I33="",0,INDEX($B$63:$M$71,$R$64,8))+IF(J33="",0,INDEX($B$63:$M$71,$R$64,9))</f>
        <v>436</v>
      </c>
      <c r="L77" s="56">
        <f>IF(K33="",0,INDEX($B$63:$M$71,$R$64,10))+IF(L33="",0,INDEX($B$63:$M$71,$R$64,11))+IF(M33="",0,INDEX($B$63:$M$71,$R$64,12))</f>
        <v>160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914</v>
      </c>
      <c r="L78" s="56">
        <f>IF(B33="",0,INDEX($B$63:$M$71,$R$64,1))+IF(G33="",0,INDEX($B$63:$M$71,$R$64,6))+IF(I33="",0,INDEX($B$63:$M$71,$R$64,8))</f>
        <v>229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R124"/>
  <sheetViews>
    <sheetView workbookViewId="0">
      <selection activeCell="C69" sqref="C69"/>
    </sheetView>
  </sheetViews>
  <sheetFormatPr defaultColWidth="10" defaultRowHeight="15.75"/>
  <cols>
    <col min="1" max="1" width="10.7109375" style="5" customWidth="1"/>
    <col min="2" max="8" width="10" style="5"/>
    <col min="9" max="9" width="9.140625" style="5" customWidth="1"/>
    <col min="10" max="10" width="10.42578125" style="5" customWidth="1"/>
    <col min="11" max="256" width="10" style="5"/>
    <col min="257" max="257" width="10.7109375" style="5" customWidth="1"/>
    <col min="258" max="264" width="10" style="5"/>
    <col min="265" max="265" width="9.140625" style="5" customWidth="1"/>
    <col min="266" max="266" width="10.42578125" style="5" customWidth="1"/>
    <col min="267" max="512" width="10" style="5"/>
    <col min="513" max="513" width="10.7109375" style="5" customWidth="1"/>
    <col min="514" max="520" width="10" style="5"/>
    <col min="521" max="521" width="9.140625" style="5" customWidth="1"/>
    <col min="522" max="522" width="10.42578125" style="5" customWidth="1"/>
    <col min="523" max="768" width="10" style="5"/>
    <col min="769" max="769" width="10.7109375" style="5" customWidth="1"/>
    <col min="770" max="776" width="10" style="5"/>
    <col min="777" max="777" width="9.140625" style="5" customWidth="1"/>
    <col min="778" max="778" width="10.42578125" style="5" customWidth="1"/>
    <col min="779" max="1024" width="10" style="5"/>
    <col min="1025" max="1025" width="10.7109375" style="5" customWidth="1"/>
    <col min="1026" max="1032" width="10" style="5"/>
    <col min="1033" max="1033" width="9.140625" style="5" customWidth="1"/>
    <col min="1034" max="1034" width="10.42578125" style="5" customWidth="1"/>
    <col min="1035" max="1280" width="10" style="5"/>
    <col min="1281" max="1281" width="10.7109375" style="5" customWidth="1"/>
    <col min="1282" max="1288" width="10" style="5"/>
    <col min="1289" max="1289" width="9.140625" style="5" customWidth="1"/>
    <col min="1290" max="1290" width="10.42578125" style="5" customWidth="1"/>
    <col min="1291" max="1536" width="10" style="5"/>
    <col min="1537" max="1537" width="10.7109375" style="5" customWidth="1"/>
    <col min="1538" max="1544" width="10" style="5"/>
    <col min="1545" max="1545" width="9.140625" style="5" customWidth="1"/>
    <col min="1546" max="1546" width="10.42578125" style="5" customWidth="1"/>
    <col min="1547" max="1792" width="10" style="5"/>
    <col min="1793" max="1793" width="10.7109375" style="5" customWidth="1"/>
    <col min="1794" max="1800" width="10" style="5"/>
    <col min="1801" max="1801" width="9.140625" style="5" customWidth="1"/>
    <col min="1802" max="1802" width="10.42578125" style="5" customWidth="1"/>
    <col min="1803" max="2048" width="10" style="5"/>
    <col min="2049" max="2049" width="10.7109375" style="5" customWidth="1"/>
    <col min="2050" max="2056" width="10" style="5"/>
    <col min="2057" max="2057" width="9.140625" style="5" customWidth="1"/>
    <col min="2058" max="2058" width="10.42578125" style="5" customWidth="1"/>
    <col min="2059" max="2304" width="10" style="5"/>
    <col min="2305" max="2305" width="10.7109375" style="5" customWidth="1"/>
    <col min="2306" max="2312" width="10" style="5"/>
    <col min="2313" max="2313" width="9.140625" style="5" customWidth="1"/>
    <col min="2314" max="2314" width="10.42578125" style="5" customWidth="1"/>
    <col min="2315" max="2560" width="10" style="5"/>
    <col min="2561" max="2561" width="10.7109375" style="5" customWidth="1"/>
    <col min="2562" max="2568" width="10" style="5"/>
    <col min="2569" max="2569" width="9.140625" style="5" customWidth="1"/>
    <col min="2570" max="2570" width="10.42578125" style="5" customWidth="1"/>
    <col min="2571" max="2816" width="10" style="5"/>
    <col min="2817" max="2817" width="10.7109375" style="5" customWidth="1"/>
    <col min="2818" max="2824" width="10" style="5"/>
    <col min="2825" max="2825" width="9.140625" style="5" customWidth="1"/>
    <col min="2826" max="2826" width="10.42578125" style="5" customWidth="1"/>
    <col min="2827" max="3072" width="10" style="5"/>
    <col min="3073" max="3073" width="10.7109375" style="5" customWidth="1"/>
    <col min="3074" max="3080" width="10" style="5"/>
    <col min="3081" max="3081" width="9.140625" style="5" customWidth="1"/>
    <col min="3082" max="3082" width="10.42578125" style="5" customWidth="1"/>
    <col min="3083" max="3328" width="10" style="5"/>
    <col min="3329" max="3329" width="10.7109375" style="5" customWidth="1"/>
    <col min="3330" max="3336" width="10" style="5"/>
    <col min="3337" max="3337" width="9.140625" style="5" customWidth="1"/>
    <col min="3338" max="3338" width="10.42578125" style="5" customWidth="1"/>
    <col min="3339" max="3584" width="10" style="5"/>
    <col min="3585" max="3585" width="10.7109375" style="5" customWidth="1"/>
    <col min="3586" max="3592" width="10" style="5"/>
    <col min="3593" max="3593" width="9.140625" style="5" customWidth="1"/>
    <col min="3594" max="3594" width="10.42578125" style="5" customWidth="1"/>
    <col min="3595" max="3840" width="10" style="5"/>
    <col min="3841" max="3841" width="10.7109375" style="5" customWidth="1"/>
    <col min="3842" max="3848" width="10" style="5"/>
    <col min="3849" max="3849" width="9.140625" style="5" customWidth="1"/>
    <col min="3850" max="3850" width="10.42578125" style="5" customWidth="1"/>
    <col min="3851" max="4096" width="10" style="5"/>
    <col min="4097" max="4097" width="10.7109375" style="5" customWidth="1"/>
    <col min="4098" max="4104" width="10" style="5"/>
    <col min="4105" max="4105" width="9.140625" style="5" customWidth="1"/>
    <col min="4106" max="4106" width="10.42578125" style="5" customWidth="1"/>
    <col min="4107" max="4352" width="10" style="5"/>
    <col min="4353" max="4353" width="10.7109375" style="5" customWidth="1"/>
    <col min="4354" max="4360" width="10" style="5"/>
    <col min="4361" max="4361" width="9.140625" style="5" customWidth="1"/>
    <col min="4362" max="4362" width="10.42578125" style="5" customWidth="1"/>
    <col min="4363" max="4608" width="10" style="5"/>
    <col min="4609" max="4609" width="10.7109375" style="5" customWidth="1"/>
    <col min="4610" max="4616" width="10" style="5"/>
    <col min="4617" max="4617" width="9.140625" style="5" customWidth="1"/>
    <col min="4618" max="4618" width="10.42578125" style="5" customWidth="1"/>
    <col min="4619" max="4864" width="10" style="5"/>
    <col min="4865" max="4865" width="10.7109375" style="5" customWidth="1"/>
    <col min="4866" max="4872" width="10" style="5"/>
    <col min="4873" max="4873" width="9.140625" style="5" customWidth="1"/>
    <col min="4874" max="4874" width="10.42578125" style="5" customWidth="1"/>
    <col min="4875" max="5120" width="10" style="5"/>
    <col min="5121" max="5121" width="10.7109375" style="5" customWidth="1"/>
    <col min="5122" max="5128" width="10" style="5"/>
    <col min="5129" max="5129" width="9.140625" style="5" customWidth="1"/>
    <col min="5130" max="5130" width="10.42578125" style="5" customWidth="1"/>
    <col min="5131" max="5376" width="10" style="5"/>
    <col min="5377" max="5377" width="10.7109375" style="5" customWidth="1"/>
    <col min="5378" max="5384" width="10" style="5"/>
    <col min="5385" max="5385" width="9.140625" style="5" customWidth="1"/>
    <col min="5386" max="5386" width="10.42578125" style="5" customWidth="1"/>
    <col min="5387" max="5632" width="10" style="5"/>
    <col min="5633" max="5633" width="10.7109375" style="5" customWidth="1"/>
    <col min="5634" max="5640" width="10" style="5"/>
    <col min="5641" max="5641" width="9.140625" style="5" customWidth="1"/>
    <col min="5642" max="5642" width="10.42578125" style="5" customWidth="1"/>
    <col min="5643" max="5888" width="10" style="5"/>
    <col min="5889" max="5889" width="10.7109375" style="5" customWidth="1"/>
    <col min="5890" max="5896" width="10" style="5"/>
    <col min="5897" max="5897" width="9.140625" style="5" customWidth="1"/>
    <col min="5898" max="5898" width="10.42578125" style="5" customWidth="1"/>
    <col min="5899" max="6144" width="10" style="5"/>
    <col min="6145" max="6145" width="10.7109375" style="5" customWidth="1"/>
    <col min="6146" max="6152" width="10" style="5"/>
    <col min="6153" max="6153" width="9.140625" style="5" customWidth="1"/>
    <col min="6154" max="6154" width="10.42578125" style="5" customWidth="1"/>
    <col min="6155" max="6400" width="10" style="5"/>
    <col min="6401" max="6401" width="10.7109375" style="5" customWidth="1"/>
    <col min="6402" max="6408" width="10" style="5"/>
    <col min="6409" max="6409" width="9.140625" style="5" customWidth="1"/>
    <col min="6410" max="6410" width="10.42578125" style="5" customWidth="1"/>
    <col min="6411" max="6656" width="10" style="5"/>
    <col min="6657" max="6657" width="10.7109375" style="5" customWidth="1"/>
    <col min="6658" max="6664" width="10" style="5"/>
    <col min="6665" max="6665" width="9.140625" style="5" customWidth="1"/>
    <col min="6666" max="6666" width="10.42578125" style="5" customWidth="1"/>
    <col min="6667" max="6912" width="10" style="5"/>
    <col min="6913" max="6913" width="10.7109375" style="5" customWidth="1"/>
    <col min="6914" max="6920" width="10" style="5"/>
    <col min="6921" max="6921" width="9.140625" style="5" customWidth="1"/>
    <col min="6922" max="6922" width="10.42578125" style="5" customWidth="1"/>
    <col min="6923" max="7168" width="10" style="5"/>
    <col min="7169" max="7169" width="10.7109375" style="5" customWidth="1"/>
    <col min="7170" max="7176" width="10" style="5"/>
    <col min="7177" max="7177" width="9.140625" style="5" customWidth="1"/>
    <col min="7178" max="7178" width="10.42578125" style="5" customWidth="1"/>
    <col min="7179" max="7424" width="10" style="5"/>
    <col min="7425" max="7425" width="10.7109375" style="5" customWidth="1"/>
    <col min="7426" max="7432" width="10" style="5"/>
    <col min="7433" max="7433" width="9.140625" style="5" customWidth="1"/>
    <col min="7434" max="7434" width="10.42578125" style="5" customWidth="1"/>
    <col min="7435" max="7680" width="10" style="5"/>
    <col min="7681" max="7681" width="10.7109375" style="5" customWidth="1"/>
    <col min="7682" max="7688" width="10" style="5"/>
    <col min="7689" max="7689" width="9.140625" style="5" customWidth="1"/>
    <col min="7690" max="7690" width="10.42578125" style="5" customWidth="1"/>
    <col min="7691" max="7936" width="10" style="5"/>
    <col min="7937" max="7937" width="10.7109375" style="5" customWidth="1"/>
    <col min="7938" max="7944" width="10" style="5"/>
    <col min="7945" max="7945" width="9.140625" style="5" customWidth="1"/>
    <col min="7946" max="7946" width="10.42578125" style="5" customWidth="1"/>
    <col min="7947" max="8192" width="10" style="5"/>
    <col min="8193" max="8193" width="10.7109375" style="5" customWidth="1"/>
    <col min="8194" max="8200" width="10" style="5"/>
    <col min="8201" max="8201" width="9.140625" style="5" customWidth="1"/>
    <col min="8202" max="8202" width="10.42578125" style="5" customWidth="1"/>
    <col min="8203" max="8448" width="10" style="5"/>
    <col min="8449" max="8449" width="10.7109375" style="5" customWidth="1"/>
    <col min="8450" max="8456" width="10" style="5"/>
    <col min="8457" max="8457" width="9.140625" style="5" customWidth="1"/>
    <col min="8458" max="8458" width="10.42578125" style="5" customWidth="1"/>
    <col min="8459" max="8704" width="10" style="5"/>
    <col min="8705" max="8705" width="10.7109375" style="5" customWidth="1"/>
    <col min="8706" max="8712" width="10" style="5"/>
    <col min="8713" max="8713" width="9.140625" style="5" customWidth="1"/>
    <col min="8714" max="8714" width="10.42578125" style="5" customWidth="1"/>
    <col min="8715" max="8960" width="10" style="5"/>
    <col min="8961" max="8961" width="10.7109375" style="5" customWidth="1"/>
    <col min="8962" max="8968" width="10" style="5"/>
    <col min="8969" max="8969" width="9.140625" style="5" customWidth="1"/>
    <col min="8970" max="8970" width="10.42578125" style="5" customWidth="1"/>
    <col min="8971" max="9216" width="10" style="5"/>
    <col min="9217" max="9217" width="10.7109375" style="5" customWidth="1"/>
    <col min="9218" max="9224" width="10" style="5"/>
    <col min="9225" max="9225" width="9.140625" style="5" customWidth="1"/>
    <col min="9226" max="9226" width="10.42578125" style="5" customWidth="1"/>
    <col min="9227" max="9472" width="10" style="5"/>
    <col min="9473" max="9473" width="10.7109375" style="5" customWidth="1"/>
    <col min="9474" max="9480" width="10" style="5"/>
    <col min="9481" max="9481" width="9.140625" style="5" customWidth="1"/>
    <col min="9482" max="9482" width="10.42578125" style="5" customWidth="1"/>
    <col min="9483" max="9728" width="10" style="5"/>
    <col min="9729" max="9729" width="10.7109375" style="5" customWidth="1"/>
    <col min="9730" max="9736" width="10" style="5"/>
    <col min="9737" max="9737" width="9.140625" style="5" customWidth="1"/>
    <col min="9738" max="9738" width="10.42578125" style="5" customWidth="1"/>
    <col min="9739" max="9984" width="10" style="5"/>
    <col min="9985" max="9985" width="10.7109375" style="5" customWidth="1"/>
    <col min="9986" max="9992" width="10" style="5"/>
    <col min="9993" max="9993" width="9.140625" style="5" customWidth="1"/>
    <col min="9994" max="9994" width="10.42578125" style="5" customWidth="1"/>
    <col min="9995" max="10240" width="10" style="5"/>
    <col min="10241" max="10241" width="10.7109375" style="5" customWidth="1"/>
    <col min="10242" max="10248" width="10" style="5"/>
    <col min="10249" max="10249" width="9.140625" style="5" customWidth="1"/>
    <col min="10250" max="10250" width="10.42578125" style="5" customWidth="1"/>
    <col min="10251" max="10496" width="10" style="5"/>
    <col min="10497" max="10497" width="10.7109375" style="5" customWidth="1"/>
    <col min="10498" max="10504" width="10" style="5"/>
    <col min="10505" max="10505" width="9.140625" style="5" customWidth="1"/>
    <col min="10506" max="10506" width="10.42578125" style="5" customWidth="1"/>
    <col min="10507" max="10752" width="10" style="5"/>
    <col min="10753" max="10753" width="10.7109375" style="5" customWidth="1"/>
    <col min="10754" max="10760" width="10" style="5"/>
    <col min="10761" max="10761" width="9.140625" style="5" customWidth="1"/>
    <col min="10762" max="10762" width="10.42578125" style="5" customWidth="1"/>
    <col min="10763" max="11008" width="10" style="5"/>
    <col min="11009" max="11009" width="10.7109375" style="5" customWidth="1"/>
    <col min="11010" max="11016" width="10" style="5"/>
    <col min="11017" max="11017" width="9.140625" style="5" customWidth="1"/>
    <col min="11018" max="11018" width="10.42578125" style="5" customWidth="1"/>
    <col min="11019" max="11264" width="10" style="5"/>
    <col min="11265" max="11265" width="10.7109375" style="5" customWidth="1"/>
    <col min="11266" max="11272" width="10" style="5"/>
    <col min="11273" max="11273" width="9.140625" style="5" customWidth="1"/>
    <col min="11274" max="11274" width="10.42578125" style="5" customWidth="1"/>
    <col min="11275" max="11520" width="10" style="5"/>
    <col min="11521" max="11521" width="10.7109375" style="5" customWidth="1"/>
    <col min="11522" max="11528" width="10" style="5"/>
    <col min="11529" max="11529" width="9.140625" style="5" customWidth="1"/>
    <col min="11530" max="11530" width="10.42578125" style="5" customWidth="1"/>
    <col min="11531" max="11776" width="10" style="5"/>
    <col min="11777" max="11777" width="10.7109375" style="5" customWidth="1"/>
    <col min="11778" max="11784" width="10" style="5"/>
    <col min="11785" max="11785" width="9.140625" style="5" customWidth="1"/>
    <col min="11786" max="11786" width="10.42578125" style="5" customWidth="1"/>
    <col min="11787" max="12032" width="10" style="5"/>
    <col min="12033" max="12033" width="10.7109375" style="5" customWidth="1"/>
    <col min="12034" max="12040" width="10" style="5"/>
    <col min="12041" max="12041" width="9.140625" style="5" customWidth="1"/>
    <col min="12042" max="12042" width="10.42578125" style="5" customWidth="1"/>
    <col min="12043" max="12288" width="10" style="5"/>
    <col min="12289" max="12289" width="10.7109375" style="5" customWidth="1"/>
    <col min="12290" max="12296" width="10" style="5"/>
    <col min="12297" max="12297" width="9.140625" style="5" customWidth="1"/>
    <col min="12298" max="12298" width="10.42578125" style="5" customWidth="1"/>
    <col min="12299" max="12544" width="10" style="5"/>
    <col min="12545" max="12545" width="10.7109375" style="5" customWidth="1"/>
    <col min="12546" max="12552" width="10" style="5"/>
    <col min="12553" max="12553" width="9.140625" style="5" customWidth="1"/>
    <col min="12554" max="12554" width="10.42578125" style="5" customWidth="1"/>
    <col min="12555" max="12800" width="10" style="5"/>
    <col min="12801" max="12801" width="10.7109375" style="5" customWidth="1"/>
    <col min="12802" max="12808" width="10" style="5"/>
    <col min="12809" max="12809" width="9.140625" style="5" customWidth="1"/>
    <col min="12810" max="12810" width="10.42578125" style="5" customWidth="1"/>
    <col min="12811" max="13056" width="10" style="5"/>
    <col min="13057" max="13057" width="10.7109375" style="5" customWidth="1"/>
    <col min="13058" max="13064" width="10" style="5"/>
    <col min="13065" max="13065" width="9.140625" style="5" customWidth="1"/>
    <col min="13066" max="13066" width="10.42578125" style="5" customWidth="1"/>
    <col min="13067" max="13312" width="10" style="5"/>
    <col min="13313" max="13313" width="10.7109375" style="5" customWidth="1"/>
    <col min="13314" max="13320" width="10" style="5"/>
    <col min="13321" max="13321" width="9.140625" style="5" customWidth="1"/>
    <col min="13322" max="13322" width="10.42578125" style="5" customWidth="1"/>
    <col min="13323" max="13568" width="10" style="5"/>
    <col min="13569" max="13569" width="10.7109375" style="5" customWidth="1"/>
    <col min="13570" max="13576" width="10" style="5"/>
    <col min="13577" max="13577" width="9.140625" style="5" customWidth="1"/>
    <col min="13578" max="13578" width="10.42578125" style="5" customWidth="1"/>
    <col min="13579" max="13824" width="10" style="5"/>
    <col min="13825" max="13825" width="10.7109375" style="5" customWidth="1"/>
    <col min="13826" max="13832" width="10" style="5"/>
    <col min="13833" max="13833" width="9.140625" style="5" customWidth="1"/>
    <col min="13834" max="13834" width="10.42578125" style="5" customWidth="1"/>
    <col min="13835" max="14080" width="10" style="5"/>
    <col min="14081" max="14081" width="10.7109375" style="5" customWidth="1"/>
    <col min="14082" max="14088" width="10" style="5"/>
    <col min="14089" max="14089" width="9.140625" style="5" customWidth="1"/>
    <col min="14090" max="14090" width="10.42578125" style="5" customWidth="1"/>
    <col min="14091" max="14336" width="10" style="5"/>
    <col min="14337" max="14337" width="10.7109375" style="5" customWidth="1"/>
    <col min="14338" max="14344" width="10" style="5"/>
    <col min="14345" max="14345" width="9.140625" style="5" customWidth="1"/>
    <col min="14346" max="14346" width="10.42578125" style="5" customWidth="1"/>
    <col min="14347" max="14592" width="10" style="5"/>
    <col min="14593" max="14593" width="10.7109375" style="5" customWidth="1"/>
    <col min="14594" max="14600" width="10" style="5"/>
    <col min="14601" max="14601" width="9.140625" style="5" customWidth="1"/>
    <col min="14602" max="14602" width="10.42578125" style="5" customWidth="1"/>
    <col min="14603" max="14848" width="10" style="5"/>
    <col min="14849" max="14849" width="10.7109375" style="5" customWidth="1"/>
    <col min="14850" max="14856" width="10" style="5"/>
    <col min="14857" max="14857" width="9.140625" style="5" customWidth="1"/>
    <col min="14858" max="14858" width="10.42578125" style="5" customWidth="1"/>
    <col min="14859" max="15104" width="10" style="5"/>
    <col min="15105" max="15105" width="10.7109375" style="5" customWidth="1"/>
    <col min="15106" max="15112" width="10" style="5"/>
    <col min="15113" max="15113" width="9.140625" style="5" customWidth="1"/>
    <col min="15114" max="15114" width="10.42578125" style="5" customWidth="1"/>
    <col min="15115" max="15360" width="10" style="5"/>
    <col min="15361" max="15361" width="10.7109375" style="5" customWidth="1"/>
    <col min="15362" max="15368" width="10" style="5"/>
    <col min="15369" max="15369" width="9.140625" style="5" customWidth="1"/>
    <col min="15370" max="15370" width="10.42578125" style="5" customWidth="1"/>
    <col min="15371" max="15616" width="10" style="5"/>
    <col min="15617" max="15617" width="10.7109375" style="5" customWidth="1"/>
    <col min="15618" max="15624" width="10" style="5"/>
    <col min="15625" max="15625" width="9.140625" style="5" customWidth="1"/>
    <col min="15626" max="15626" width="10.42578125" style="5" customWidth="1"/>
    <col min="15627" max="15872" width="10" style="5"/>
    <col min="15873" max="15873" width="10.7109375" style="5" customWidth="1"/>
    <col min="15874" max="15880" width="10" style="5"/>
    <col min="15881" max="15881" width="9.140625" style="5" customWidth="1"/>
    <col min="15882" max="15882" width="10.42578125" style="5" customWidth="1"/>
    <col min="15883" max="16128" width="10" style="5"/>
    <col min="16129" max="16129" width="10.7109375" style="5" customWidth="1"/>
    <col min="16130" max="16136" width="10" style="5"/>
    <col min="16137" max="16137" width="9.140625" style="5" customWidth="1"/>
    <col min="16138" max="16138" width="10.42578125" style="5" customWidth="1"/>
    <col min="16139" max="16384" width="10" style="5"/>
  </cols>
  <sheetData>
    <row r="1" spans="1:28" s="2" customFormat="1" ht="20.100000000000001" customHeight="1">
      <c r="A1" s="1"/>
      <c r="B1" s="1"/>
      <c r="C1" s="1"/>
      <c r="D1" s="1"/>
      <c r="F1" s="1" t="s">
        <v>0</v>
      </c>
      <c r="G1" s="1"/>
      <c r="H1" s="1"/>
      <c r="I1" s="1"/>
      <c r="J1" s="1"/>
      <c r="K1" s="1"/>
      <c r="L1" s="1"/>
      <c r="M1" s="1"/>
      <c r="N1" s="1"/>
      <c r="O1" s="1"/>
    </row>
    <row r="2" spans="1:28" ht="23.25">
      <c r="A2" s="3" t="s">
        <v>1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</row>
    <row r="3" spans="1:28" ht="7.15" customHeight="1" thickBot="1"/>
    <row r="4" spans="1:28" ht="16.5" thickTop="1">
      <c r="A4" s="6" t="s">
        <v>2</v>
      </c>
      <c r="B4" s="7"/>
      <c r="C4" s="8" t="s">
        <v>51</v>
      </c>
      <c r="D4" s="8"/>
      <c r="E4" s="8"/>
      <c r="F4" s="8"/>
      <c r="G4" s="8"/>
      <c r="H4" s="8"/>
      <c r="I4" s="9" t="s">
        <v>3</v>
      </c>
      <c r="J4" s="9"/>
      <c r="K4" s="10">
        <v>0.66666666666666663</v>
      </c>
      <c r="L4" s="11" t="s">
        <v>4</v>
      </c>
      <c r="M4" s="12">
        <v>0.75</v>
      </c>
      <c r="N4" s="13"/>
      <c r="O4" s="14"/>
      <c r="P4" s="14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spans="1:28">
      <c r="A5" s="16" t="s">
        <v>5</v>
      </c>
      <c r="B5" s="17"/>
      <c r="C5" s="18"/>
      <c r="D5" s="18"/>
      <c r="E5" s="18"/>
      <c r="F5" s="18"/>
      <c r="G5" s="18"/>
      <c r="H5" s="18"/>
      <c r="I5" s="19" t="s">
        <v>6</v>
      </c>
      <c r="J5" s="19"/>
      <c r="K5" s="20" t="s">
        <v>17</v>
      </c>
      <c r="L5" s="21" t="s">
        <v>52</v>
      </c>
      <c r="M5" s="22"/>
      <c r="N5" s="23"/>
      <c r="O5" s="24"/>
      <c r="P5" s="24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spans="1:28" ht="16.5" thickBot="1">
      <c r="A6" s="25" t="s">
        <v>7</v>
      </c>
      <c r="B6" s="26"/>
      <c r="C6" s="27"/>
      <c r="D6" s="28"/>
      <c r="E6" s="27"/>
      <c r="F6" s="29"/>
      <c r="G6" s="27"/>
      <c r="H6" s="27"/>
      <c r="I6" s="30" t="s">
        <v>8</v>
      </c>
      <c r="J6" s="30"/>
      <c r="K6" s="31"/>
      <c r="L6" s="32">
        <v>21</v>
      </c>
      <c r="M6" s="33"/>
      <c r="N6" s="34"/>
      <c r="O6" s="35"/>
      <c r="P6" s="3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spans="1:28" ht="16.5" thickTop="1">
      <c r="A7" s="36" t="s">
        <v>9</v>
      </c>
      <c r="B7" s="37"/>
      <c r="C7" s="38">
        <f>S64</f>
        <v>0.66666666666666674</v>
      </c>
      <c r="D7" s="39"/>
      <c r="E7" s="40" t="s">
        <v>4</v>
      </c>
      <c r="F7" s="38">
        <f>C7+60/1440</f>
        <v>0.70833333333333337</v>
      </c>
      <c r="G7" s="39"/>
      <c r="H7" s="37"/>
      <c r="I7" s="37"/>
      <c r="J7" s="37"/>
      <c r="K7" s="37"/>
      <c r="L7" s="37"/>
      <c r="M7" s="37"/>
      <c r="N7" s="41"/>
      <c r="Q7" s="42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spans="1:28">
      <c r="A8" s="36" t="s">
        <v>10</v>
      </c>
      <c r="B8" s="37"/>
      <c r="C8" s="38">
        <f>F8-15/1440</f>
        <v>0.6875</v>
      </c>
      <c r="D8" s="39"/>
      <c r="E8" s="40" t="s">
        <v>4</v>
      </c>
      <c r="F8" s="38">
        <f>Q61</f>
        <v>0.69791666666666663</v>
      </c>
      <c r="G8" s="39"/>
      <c r="H8" s="37"/>
      <c r="I8" s="37"/>
      <c r="J8" s="37"/>
      <c r="K8" s="37"/>
      <c r="L8" s="37"/>
      <c r="M8" s="37"/>
      <c r="N8" s="41"/>
      <c r="Q8" s="42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spans="1:28">
      <c r="A9" s="36"/>
      <c r="B9" s="37"/>
      <c r="C9" s="38"/>
      <c r="D9" s="43" t="str">
        <f>L29</f>
        <v>US 395 N</v>
      </c>
      <c r="E9" s="44"/>
      <c r="F9" s="45"/>
      <c r="G9" s="39"/>
      <c r="H9" s="37"/>
      <c r="I9" s="37"/>
      <c r="J9" s="46" t="s">
        <v>11</v>
      </c>
      <c r="K9" s="47">
        <f>IF(L29="N/A","N/A",L77/(U61*4))</f>
        <v>0.25</v>
      </c>
      <c r="L9" s="37"/>
      <c r="M9" s="37"/>
      <c r="N9" s="41"/>
      <c r="Q9" s="42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spans="1:28">
      <c r="A10" s="48"/>
      <c r="B10" s="37"/>
      <c r="C10" s="15"/>
      <c r="D10" s="15"/>
      <c r="E10" s="15"/>
      <c r="F10" s="37"/>
      <c r="G10" s="37"/>
      <c r="H10" s="37"/>
      <c r="I10" s="37"/>
      <c r="J10" s="37"/>
      <c r="K10" s="37"/>
      <c r="L10" s="37"/>
      <c r="M10" s="37"/>
      <c r="N10" s="41"/>
      <c r="Q10" s="42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spans="1:28" ht="30" customHeight="1">
      <c r="A11" s="48"/>
      <c r="B11" s="37"/>
      <c r="C11" s="49" t="str">
        <f>IF(L29="N/A","N/A",IF(C29="N/A","N/A",INDEX($B$63:$M$71,$R$64,12)))</f>
        <v/>
      </c>
      <c r="D11" s="50">
        <f>IF(L29="N/A","N/A",IF(I29="N/A","N/A",INDEX($B$63:$M$71,$R$64,11)))</f>
        <v>1</v>
      </c>
      <c r="E11" s="51" t="str">
        <f>IF(L29="N/A","N/A",IF(F29="N/A","N/A",INDEX($B$63:$M$71,$R$64,10)))</f>
        <v/>
      </c>
      <c r="F11" s="37"/>
      <c r="G11" s="37"/>
      <c r="H11" s="37"/>
      <c r="I11" s="15"/>
      <c r="J11" s="52">
        <f>IF(L29="N/A","N/A",L77)</f>
        <v>1</v>
      </c>
      <c r="K11" s="52">
        <f>IF(L29="N/A","N/A",L78)</f>
        <v>2</v>
      </c>
      <c r="L11" s="37"/>
      <c r="M11" s="37"/>
      <c r="N11" s="41"/>
      <c r="Q11" s="42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</row>
    <row r="12" spans="1:28">
      <c r="A12" s="53"/>
      <c r="B12" s="46" t="str">
        <f>C29</f>
        <v>Mill</v>
      </c>
      <c r="C12" s="37"/>
      <c r="D12" s="37"/>
      <c r="E12" s="37"/>
      <c r="F12" s="37"/>
      <c r="G12" s="37"/>
      <c r="H12" s="54" t="s">
        <v>11</v>
      </c>
      <c r="I12" s="55">
        <f>IF(C29="N/A","N/A",C77/(R61*4))</f>
        <v>0.25</v>
      </c>
      <c r="J12" s="37"/>
      <c r="K12" s="37"/>
      <c r="L12" s="37"/>
      <c r="M12" s="37"/>
      <c r="N12" s="41"/>
      <c r="Q12" s="42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</row>
    <row r="13" spans="1:28">
      <c r="A13" s="48"/>
      <c r="B13" s="37"/>
      <c r="C13" s="37"/>
      <c r="D13" s="37"/>
      <c r="E13" s="37"/>
      <c r="F13" s="37"/>
      <c r="G13" s="15"/>
      <c r="H13" s="15"/>
      <c r="I13" s="15"/>
      <c r="J13" s="37"/>
      <c r="K13" s="37"/>
      <c r="L13" s="37"/>
      <c r="M13" s="37"/>
      <c r="N13" s="41"/>
      <c r="Q13" s="42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</row>
    <row r="14" spans="1:28">
      <c r="A14" s="48"/>
      <c r="B14" s="37"/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15"/>
      <c r="N14" s="41"/>
      <c r="Q14" s="42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spans="1:28">
      <c r="A15" s="48"/>
      <c r="B15" s="56" t="str">
        <f>IF(C29="N/A","N/A",IF(L29="N/A","N/A",INDEX($B$63:$M$71,$R$64,1)))</f>
        <v/>
      </c>
      <c r="C15" s="37"/>
      <c r="D15" s="37"/>
      <c r="E15" s="37"/>
      <c r="F15" s="56" t="str">
        <f>IF(F29="N/A","N/A",IF(L29="N/A","N/A",INDEX($B$63:$M$71,$R$64,6)))</f>
        <v/>
      </c>
      <c r="G15" s="37"/>
      <c r="H15" s="57">
        <f>IF(C29="N/A","N/A",C76)</f>
        <v>3</v>
      </c>
      <c r="I15" s="37"/>
      <c r="J15" s="37"/>
      <c r="K15" s="37"/>
      <c r="L15" s="15"/>
      <c r="M15" s="58">
        <f>IF(F29="N/A","N/A",F77)</f>
        <v>3</v>
      </c>
      <c r="N15" s="41"/>
      <c r="Q15" s="42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spans="1:28">
      <c r="A16" s="53"/>
      <c r="B16" s="15"/>
      <c r="C16" s="37"/>
      <c r="D16" s="43" t="s">
        <v>12</v>
      </c>
      <c r="E16" s="37"/>
      <c r="F16" s="15"/>
      <c r="G16" s="59"/>
      <c r="H16" s="57"/>
      <c r="I16" s="37"/>
      <c r="J16" s="37"/>
      <c r="K16" s="37"/>
      <c r="L16" s="15"/>
      <c r="M16" s="58"/>
      <c r="N16" s="60"/>
      <c r="O16" s="56"/>
      <c r="P16" s="56"/>
      <c r="Q16" s="42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spans="1:28">
      <c r="A17" s="53"/>
      <c r="B17" s="61">
        <f>IF(C29="N/A","N/A",IF(F29="N/A","N/A",INDEX($B$63:$M$71,$R$64,2)))</f>
        <v>2</v>
      </c>
      <c r="C17" s="37"/>
      <c r="D17" s="37"/>
      <c r="E17" s="37"/>
      <c r="F17" s="61">
        <f>IF(F29="N/A","N/A",IF(C29="N/A","N/A",INDEX($B$63:$M$71,$R$64,5)))</f>
        <v>3</v>
      </c>
      <c r="G17" s="15"/>
      <c r="H17" s="15"/>
      <c r="I17" s="37"/>
      <c r="J17" s="37"/>
      <c r="K17" s="37"/>
      <c r="L17" s="15"/>
      <c r="M17" s="15"/>
      <c r="N17" s="62"/>
      <c r="O17" s="63"/>
      <c r="P17" s="63"/>
      <c r="Q17" s="42"/>
      <c r="R17" s="42"/>
    </row>
    <row r="18" spans="1:28">
      <c r="A18" s="53"/>
      <c r="B18" s="37"/>
      <c r="C18" s="37"/>
      <c r="D18" s="64">
        <f>R63</f>
        <v>8</v>
      </c>
      <c r="E18" s="37"/>
      <c r="F18" s="37"/>
      <c r="G18" s="37"/>
      <c r="H18" s="37"/>
      <c r="I18" s="37"/>
      <c r="J18" s="37"/>
      <c r="K18" s="37"/>
      <c r="L18" s="15"/>
      <c r="M18" s="15"/>
      <c r="N18" s="41"/>
      <c r="Q18" s="42"/>
      <c r="R18" s="42"/>
    </row>
    <row r="19" spans="1:28">
      <c r="A19" s="48"/>
      <c r="B19" s="56" t="str">
        <f>IF(C29="N/A","N/A",IF(I29="N/A","N/A",INDEX($B$63:$M$71,$R$64,3)))</f>
        <v/>
      </c>
      <c r="C19" s="37"/>
      <c r="D19" s="37"/>
      <c r="E19" s="37"/>
      <c r="F19" s="56" t="str">
        <f>IF(F29="N/A","N/A",IF(I29="N/A","N/A",INDEX($B$63:$M$71,$R$64,4)))</f>
        <v/>
      </c>
      <c r="G19" s="37"/>
      <c r="H19" s="57">
        <f>IF(C29="N/A","N/A",C77)</f>
        <v>2</v>
      </c>
      <c r="I19" s="37"/>
      <c r="J19" s="37"/>
      <c r="K19" s="37"/>
      <c r="L19" s="15"/>
      <c r="M19" s="58">
        <f>IF(F29="N/A","N/A",F78)</f>
        <v>2</v>
      </c>
      <c r="N19" s="41"/>
      <c r="Q19" s="42"/>
      <c r="R19" s="42"/>
    </row>
    <row r="20" spans="1:28">
      <c r="A20" s="48"/>
      <c r="B20" s="15"/>
      <c r="C20" s="37"/>
      <c r="D20" s="37"/>
      <c r="E20" s="37"/>
      <c r="F20" s="37"/>
      <c r="G20" s="37"/>
      <c r="H20" s="37"/>
      <c r="I20" s="37"/>
      <c r="J20" s="37"/>
      <c r="K20" s="37"/>
      <c r="L20" s="37"/>
      <c r="M20" s="37"/>
      <c r="N20" s="41"/>
      <c r="Q20" s="42"/>
      <c r="R20" s="42"/>
    </row>
    <row r="21" spans="1:28">
      <c r="A21" s="48"/>
      <c r="B21" s="37"/>
      <c r="C21" s="37"/>
      <c r="D21" s="37"/>
      <c r="E21" s="37"/>
      <c r="F21" s="37"/>
      <c r="G21" s="37"/>
      <c r="H21" s="37"/>
      <c r="I21" s="37"/>
      <c r="J21" s="37"/>
      <c r="K21" s="15"/>
      <c r="L21" s="15"/>
      <c r="M21" s="15"/>
      <c r="N21" s="41"/>
      <c r="Q21" s="42"/>
      <c r="R21" s="42"/>
    </row>
    <row r="22" spans="1:28">
      <c r="A22" s="48"/>
      <c r="B22" s="37"/>
      <c r="C22" s="37"/>
      <c r="D22" s="37"/>
      <c r="E22" s="37"/>
      <c r="F22" s="37" t="str">
        <f>F29</f>
        <v>Mill</v>
      </c>
      <c r="G22" s="37"/>
      <c r="H22" s="37"/>
      <c r="I22" s="37"/>
      <c r="J22" s="37"/>
      <c r="K22" s="37"/>
      <c r="L22" s="54" t="s">
        <v>11</v>
      </c>
      <c r="M22" s="55">
        <f>IF(F29="N/A","N/A",F77/(S61*4))</f>
        <v>0.25</v>
      </c>
      <c r="N22" s="62"/>
      <c r="Q22" s="42"/>
      <c r="R22" s="42"/>
    </row>
    <row r="23" spans="1:28" ht="30" customHeight="1">
      <c r="A23" s="48"/>
      <c r="B23" s="37"/>
      <c r="C23" s="49" t="str">
        <f>IF(I29="N/A","N/A",IF(C29="N/A","N/A",INDEX($B$63:$M$71,$R$64,7)))</f>
        <v/>
      </c>
      <c r="D23" s="50">
        <f>IF(I29="N/A","N/A",IF(L29="N/A","N/A",INDEX($B$63:$M$71,$R$64,8)))</f>
        <v>2</v>
      </c>
      <c r="E23" s="51" t="str">
        <f>IF(I29="N/A","N/A",IF(F29="N/A","N/A",INDEX($B$63:$M$71,$R$64,9)))</f>
        <v/>
      </c>
      <c r="F23" s="15"/>
      <c r="G23" s="65"/>
      <c r="H23" s="37"/>
      <c r="I23" s="37"/>
      <c r="J23" s="66">
        <f>IF(I29="N/A","N/A",I76)</f>
        <v>1</v>
      </c>
      <c r="K23" s="66">
        <f>IF(I29="N/A","N/A",I77)</f>
        <v>2</v>
      </c>
      <c r="L23" s="15"/>
      <c r="M23" s="37"/>
      <c r="N23" s="41"/>
      <c r="Q23" s="42"/>
      <c r="R23" s="42"/>
    </row>
    <row r="24" spans="1:28">
      <c r="A24" s="48"/>
      <c r="B24" s="37"/>
      <c r="C24" s="15"/>
      <c r="D24" s="15"/>
      <c r="E24" s="15"/>
      <c r="F24" s="37"/>
      <c r="G24" s="37"/>
      <c r="H24" s="37"/>
      <c r="I24" s="37"/>
      <c r="J24" s="37"/>
      <c r="K24" s="37"/>
      <c r="L24" s="15"/>
      <c r="M24" s="15"/>
      <c r="N24" s="41"/>
      <c r="Q24" s="42"/>
      <c r="R24" s="42"/>
    </row>
    <row r="25" spans="1:28">
      <c r="A25" s="48"/>
      <c r="B25" s="37"/>
      <c r="C25" s="65"/>
      <c r="D25" s="59" t="str">
        <f>I29</f>
        <v>US 395 N</v>
      </c>
      <c r="E25" s="65"/>
      <c r="F25" s="15"/>
      <c r="G25" s="15"/>
      <c r="H25" s="37"/>
      <c r="I25" s="37"/>
      <c r="J25" s="59" t="s">
        <v>11</v>
      </c>
      <c r="K25" s="47">
        <f>IF(I29="N/A","N/A",I77/(T61*4))</f>
        <v>0.5</v>
      </c>
      <c r="L25" s="37"/>
      <c r="M25" s="37"/>
      <c r="N25" s="41"/>
      <c r="Q25" s="42"/>
      <c r="R25" s="42"/>
    </row>
    <row r="26" spans="1:28" ht="23.25">
      <c r="A26" s="48"/>
      <c r="B26" s="67"/>
      <c r="C26" s="67"/>
      <c r="D26" s="65"/>
      <c r="E26" s="37"/>
      <c r="F26" s="65"/>
      <c r="G26" s="68" t="s">
        <v>13</v>
      </c>
      <c r="H26" s="69"/>
      <c r="I26" s="15"/>
      <c r="J26" s="15"/>
      <c r="K26" s="15"/>
      <c r="L26" s="37"/>
      <c r="M26" s="37"/>
      <c r="N26" s="41"/>
      <c r="Q26" s="42"/>
      <c r="R26" s="42"/>
    </row>
    <row r="27" spans="1:28">
      <c r="A27" s="48" t="s">
        <v>14</v>
      </c>
      <c r="B27" s="37"/>
      <c r="C27" s="37"/>
      <c r="D27" s="37"/>
      <c r="E27" s="37" t="s">
        <v>15</v>
      </c>
      <c r="F27" s="37"/>
      <c r="G27" s="37"/>
      <c r="H27" s="37"/>
      <c r="I27" s="37"/>
      <c r="J27" s="37"/>
      <c r="K27" s="37"/>
      <c r="L27" s="37"/>
      <c r="M27" s="37"/>
      <c r="N27" s="41"/>
      <c r="Q27" s="42"/>
      <c r="R27" s="42"/>
    </row>
    <row r="28" spans="1:28" ht="16.5" thickBot="1">
      <c r="A28" s="70" t="s">
        <v>16</v>
      </c>
      <c r="B28" s="15"/>
      <c r="C28" s="55">
        <f>R63/(V61*4)</f>
        <v>0.5</v>
      </c>
      <c r="D28" s="37"/>
      <c r="E28" s="37"/>
      <c r="F28" s="37"/>
      <c r="G28" s="37"/>
      <c r="H28" s="37"/>
      <c r="I28" s="37"/>
      <c r="J28" s="37"/>
      <c r="K28" s="37"/>
      <c r="L28" s="37"/>
      <c r="M28" s="37"/>
      <c r="N28" s="41"/>
      <c r="Q28" s="42"/>
      <c r="R28" s="42"/>
    </row>
    <row r="29" spans="1:28" s="76" customFormat="1" ht="16.5" thickTop="1">
      <c r="A29" s="6"/>
      <c r="B29" s="71"/>
      <c r="C29" s="72" t="s">
        <v>53</v>
      </c>
      <c r="D29" s="73"/>
      <c r="E29" s="71"/>
      <c r="F29" s="72" t="s">
        <v>53</v>
      </c>
      <c r="G29" s="73"/>
      <c r="H29" s="71"/>
      <c r="I29" s="72" t="s">
        <v>54</v>
      </c>
      <c r="J29" s="73"/>
      <c r="K29" s="71"/>
      <c r="L29" s="72" t="s">
        <v>54</v>
      </c>
      <c r="M29" s="73"/>
      <c r="N29" s="74"/>
      <c r="O29" s="75"/>
      <c r="P29" s="75"/>
    </row>
    <row r="30" spans="1:28" s="83" customFormat="1">
      <c r="A30" s="77"/>
      <c r="B30" s="78"/>
      <c r="C30" s="79" t="s">
        <v>18</v>
      </c>
      <c r="D30" s="79"/>
      <c r="E30" s="80"/>
      <c r="F30" s="79" t="s">
        <v>19</v>
      </c>
      <c r="G30" s="79"/>
      <c r="H30" s="80"/>
      <c r="I30" s="79" t="s">
        <v>20</v>
      </c>
      <c r="J30" s="79"/>
      <c r="K30" s="80"/>
      <c r="L30" s="79" t="s">
        <v>21</v>
      </c>
      <c r="M30" s="79"/>
      <c r="N30" s="81"/>
      <c r="O30" s="82"/>
      <c r="P30" s="82"/>
      <c r="AB30" s="84"/>
    </row>
    <row r="31" spans="1:28" s="83" customFormat="1" ht="16.5" thickBot="1">
      <c r="A31" s="85" t="s">
        <v>22</v>
      </c>
      <c r="B31" s="86" t="s">
        <v>23</v>
      </c>
      <c r="C31" s="87" t="s">
        <v>24</v>
      </c>
      <c r="D31" s="87" t="s">
        <v>25</v>
      </c>
      <c r="E31" s="86" t="s">
        <v>23</v>
      </c>
      <c r="F31" s="87" t="s">
        <v>24</v>
      </c>
      <c r="G31" s="87" t="s">
        <v>25</v>
      </c>
      <c r="H31" s="86" t="s">
        <v>23</v>
      </c>
      <c r="I31" s="87" t="s">
        <v>24</v>
      </c>
      <c r="J31" s="87" t="s">
        <v>25</v>
      </c>
      <c r="K31" s="86" t="s">
        <v>23</v>
      </c>
      <c r="L31" s="87" t="s">
        <v>24</v>
      </c>
      <c r="M31" s="87" t="s">
        <v>25</v>
      </c>
      <c r="N31" s="88"/>
      <c r="O31" s="82"/>
      <c r="P31" s="82"/>
    </row>
    <row r="32" spans="1:28" s="83" customFormat="1" ht="16.5" thickTop="1">
      <c r="A32" s="89" t="s">
        <v>26</v>
      </c>
      <c r="B32" s="90" t="s">
        <v>27</v>
      </c>
      <c r="C32" s="91" t="s">
        <v>28</v>
      </c>
      <c r="D32" s="91" t="s">
        <v>29</v>
      </c>
      <c r="E32" s="90" t="s">
        <v>30</v>
      </c>
      <c r="F32" s="91" t="s">
        <v>31</v>
      </c>
      <c r="G32" s="91" t="s">
        <v>32</v>
      </c>
      <c r="H32" s="90" t="s">
        <v>33</v>
      </c>
      <c r="I32" s="91" t="s">
        <v>34</v>
      </c>
      <c r="J32" s="91" t="s">
        <v>35</v>
      </c>
      <c r="K32" s="90" t="s">
        <v>36</v>
      </c>
      <c r="L32" s="91" t="s">
        <v>37</v>
      </c>
      <c r="M32" s="91" t="s">
        <v>38</v>
      </c>
      <c r="N32" s="92" t="s">
        <v>12</v>
      </c>
      <c r="O32" s="93"/>
      <c r="P32" s="93"/>
    </row>
    <row r="33" spans="1:28" s="83" customFormat="1">
      <c r="A33" s="94">
        <v>0.67708333333333337</v>
      </c>
      <c r="B33" s="95"/>
      <c r="C33" s="96">
        <v>0</v>
      </c>
      <c r="D33" s="96"/>
      <c r="E33" s="95"/>
      <c r="F33" s="96">
        <v>0</v>
      </c>
      <c r="G33" s="96"/>
      <c r="H33" s="95"/>
      <c r="I33" s="96">
        <v>0</v>
      </c>
      <c r="J33" s="96"/>
      <c r="K33" s="95"/>
      <c r="L33" s="96">
        <v>1</v>
      </c>
      <c r="M33" s="96"/>
      <c r="N33" s="97">
        <f t="shared" ref="N33:N40" si="0">IF(SUM(B33:M33)&lt;=0,"",SUM(B33:M33))</f>
        <v>1</v>
      </c>
      <c r="O33" s="84"/>
      <c r="P33" s="84"/>
      <c r="Q33" s="98"/>
    </row>
    <row r="34" spans="1:28" s="83" customFormat="1">
      <c r="A34" s="94">
        <v>0.6875</v>
      </c>
      <c r="B34" s="95"/>
      <c r="C34" s="96">
        <v>0</v>
      </c>
      <c r="D34" s="96"/>
      <c r="E34" s="95"/>
      <c r="F34" s="96">
        <v>0</v>
      </c>
      <c r="G34" s="96"/>
      <c r="H34" s="95"/>
      <c r="I34" s="96">
        <v>0</v>
      </c>
      <c r="J34" s="96"/>
      <c r="K34" s="95"/>
      <c r="L34" s="96">
        <v>1</v>
      </c>
      <c r="M34" s="96"/>
      <c r="N34" s="97">
        <f t="shared" si="0"/>
        <v>1</v>
      </c>
      <c r="O34" s="84"/>
      <c r="P34" s="84"/>
      <c r="Q34" s="98"/>
    </row>
    <row r="35" spans="1:28" s="83" customFormat="1">
      <c r="A35" s="94">
        <v>0.69791666666666663</v>
      </c>
      <c r="B35" s="95"/>
      <c r="C35" s="96">
        <v>0</v>
      </c>
      <c r="D35" s="96"/>
      <c r="E35" s="95"/>
      <c r="F35" s="96">
        <v>3</v>
      </c>
      <c r="G35" s="96"/>
      <c r="H35" s="95"/>
      <c r="I35" s="96">
        <v>1</v>
      </c>
      <c r="J35" s="96"/>
      <c r="K35" s="95"/>
      <c r="L35" s="96">
        <v>1</v>
      </c>
      <c r="M35" s="96"/>
      <c r="N35" s="97">
        <f t="shared" si="0"/>
        <v>5</v>
      </c>
      <c r="O35" s="84"/>
      <c r="P35" s="84"/>
      <c r="Q35" s="98"/>
    </row>
    <row r="36" spans="1:28" s="76" customFormat="1">
      <c r="A36" s="94">
        <v>0.70833333333333304</v>
      </c>
      <c r="B36" s="95"/>
      <c r="C36" s="96">
        <v>2</v>
      </c>
      <c r="D36" s="96"/>
      <c r="E36" s="95"/>
      <c r="F36" s="96">
        <v>3</v>
      </c>
      <c r="G36" s="96"/>
      <c r="H36" s="95"/>
      <c r="I36" s="96">
        <v>2</v>
      </c>
      <c r="J36" s="96"/>
      <c r="K36" s="95"/>
      <c r="L36" s="96">
        <v>1</v>
      </c>
      <c r="M36" s="96"/>
      <c r="N36" s="97">
        <f t="shared" si="0"/>
        <v>8</v>
      </c>
      <c r="O36" s="84"/>
      <c r="P36" s="84"/>
      <c r="Q36" s="98"/>
      <c r="R36" s="83"/>
      <c r="S36" s="83"/>
      <c r="T36" s="83"/>
      <c r="U36" s="83"/>
      <c r="V36" s="83"/>
      <c r="W36" s="83"/>
      <c r="AB36" s="83"/>
    </row>
    <row r="37" spans="1:28" s="83" customFormat="1">
      <c r="A37" s="94">
        <v>0.71875</v>
      </c>
      <c r="B37" s="95"/>
      <c r="C37" s="96">
        <v>2</v>
      </c>
      <c r="D37" s="96"/>
      <c r="E37" s="95"/>
      <c r="F37" s="96">
        <v>3</v>
      </c>
      <c r="G37" s="96"/>
      <c r="H37" s="95"/>
      <c r="I37" s="96">
        <v>2</v>
      </c>
      <c r="J37" s="96"/>
      <c r="K37" s="95"/>
      <c r="L37" s="96">
        <v>1</v>
      </c>
      <c r="M37" s="96"/>
      <c r="N37" s="97">
        <f t="shared" si="0"/>
        <v>8</v>
      </c>
      <c r="O37" s="84"/>
      <c r="P37" s="84"/>
      <c r="Q37" s="98"/>
    </row>
    <row r="38" spans="1:28" s="83" customFormat="1">
      <c r="A38" s="94">
        <v>0.72916666666666696</v>
      </c>
      <c r="B38" s="95"/>
      <c r="C38" s="96">
        <v>2</v>
      </c>
      <c r="D38" s="96"/>
      <c r="E38" s="95"/>
      <c r="F38" s="96">
        <v>3</v>
      </c>
      <c r="G38" s="96"/>
      <c r="H38" s="95"/>
      <c r="I38" s="96">
        <v>2</v>
      </c>
      <c r="J38" s="96"/>
      <c r="K38" s="95"/>
      <c r="L38" s="96">
        <v>1</v>
      </c>
      <c r="M38" s="96"/>
      <c r="N38" s="97">
        <f t="shared" si="0"/>
        <v>8</v>
      </c>
      <c r="O38" s="84"/>
      <c r="P38" s="84"/>
      <c r="Q38" s="98"/>
    </row>
    <row r="39" spans="1:28" s="83" customFormat="1">
      <c r="A39" s="94">
        <v>0.73958333333333304</v>
      </c>
      <c r="B39" s="95"/>
      <c r="C39" s="96">
        <v>2</v>
      </c>
      <c r="D39" s="96"/>
      <c r="E39" s="95"/>
      <c r="F39" s="96">
        <v>3</v>
      </c>
      <c r="G39" s="96"/>
      <c r="H39" s="95"/>
      <c r="I39" s="96">
        <v>2</v>
      </c>
      <c r="J39" s="96"/>
      <c r="K39" s="95"/>
      <c r="L39" s="96">
        <v>1</v>
      </c>
      <c r="M39" s="96"/>
      <c r="N39" s="97">
        <f t="shared" si="0"/>
        <v>8</v>
      </c>
      <c r="O39" s="84"/>
      <c r="P39" s="84"/>
      <c r="Q39" s="98" t="s">
        <v>17</v>
      </c>
    </row>
    <row r="40" spans="1:28" s="83" customFormat="1">
      <c r="A40" s="94">
        <v>0.75</v>
      </c>
      <c r="B40" s="95"/>
      <c r="C40" s="96">
        <v>2</v>
      </c>
      <c r="D40" s="96"/>
      <c r="E40" s="95"/>
      <c r="F40" s="96">
        <v>3</v>
      </c>
      <c r="G40" s="96"/>
      <c r="H40" s="95"/>
      <c r="I40" s="96">
        <v>3</v>
      </c>
      <c r="J40" s="96"/>
      <c r="K40" s="95"/>
      <c r="L40" s="96">
        <v>1</v>
      </c>
      <c r="M40" s="96"/>
      <c r="N40" s="97">
        <f t="shared" si="0"/>
        <v>9</v>
      </c>
      <c r="O40" s="84"/>
      <c r="P40" s="84"/>
      <c r="Q40" s="98"/>
    </row>
    <row r="41" spans="1:28" s="83" customFormat="1">
      <c r="A41" s="94"/>
      <c r="B41" s="99"/>
      <c r="C41" s="43" t="s">
        <v>17</v>
      </c>
      <c r="D41" s="43"/>
      <c r="E41" s="99"/>
      <c r="F41" s="43"/>
      <c r="G41" s="43"/>
      <c r="H41" s="99"/>
      <c r="I41" s="43"/>
      <c r="J41" s="43"/>
      <c r="K41" s="99"/>
      <c r="L41" s="43"/>
      <c r="M41" s="43"/>
      <c r="N41" s="97"/>
      <c r="O41" s="84"/>
      <c r="P41" s="84"/>
      <c r="Q41" s="98"/>
    </row>
    <row r="42" spans="1:28" s="83" customFormat="1">
      <c r="A42" s="94"/>
      <c r="B42" s="99"/>
      <c r="C42" s="43"/>
      <c r="D42" s="43"/>
      <c r="E42" s="99"/>
      <c r="F42" s="43"/>
      <c r="G42" s="43"/>
      <c r="H42" s="99"/>
      <c r="I42" s="43"/>
      <c r="J42" s="43"/>
      <c r="K42" s="99"/>
      <c r="L42" s="43"/>
      <c r="M42" s="43"/>
      <c r="N42" s="97"/>
      <c r="O42" s="84"/>
      <c r="P42" s="84"/>
      <c r="Q42" s="98"/>
    </row>
    <row r="43" spans="1:28" s="83" customFormat="1">
      <c r="A43" s="94"/>
      <c r="B43" s="99"/>
      <c r="C43" s="43"/>
      <c r="D43" s="43"/>
      <c r="E43" s="99"/>
      <c r="F43" s="43"/>
      <c r="G43" s="43"/>
      <c r="H43" s="99"/>
      <c r="I43" s="43"/>
      <c r="J43" s="43"/>
      <c r="K43" s="99"/>
      <c r="L43" s="43"/>
      <c r="M43" s="43"/>
      <c r="N43" s="97"/>
      <c r="O43" s="84"/>
      <c r="P43" s="84"/>
      <c r="Q43" s="98"/>
    </row>
    <row r="44" spans="1:28" s="83" customFormat="1">
      <c r="A44" s="94"/>
      <c r="B44" s="99"/>
      <c r="C44" s="43"/>
      <c r="D44" s="43"/>
      <c r="E44" s="99"/>
      <c r="F44" s="43"/>
      <c r="G44" s="43"/>
      <c r="H44" s="99"/>
      <c r="I44" s="43"/>
      <c r="J44" s="43"/>
      <c r="K44" s="99"/>
      <c r="L44" s="43"/>
      <c r="M44" s="43"/>
      <c r="N44" s="97"/>
      <c r="O44" s="84"/>
      <c r="P44" s="84"/>
      <c r="Q44" s="98"/>
    </row>
    <row r="45" spans="1:28" s="83" customFormat="1">
      <c r="A45" s="100"/>
      <c r="B45" s="99"/>
      <c r="C45" s="43"/>
      <c r="D45" s="43"/>
      <c r="E45" s="99"/>
      <c r="F45" s="43"/>
      <c r="G45" s="43"/>
      <c r="H45" s="99"/>
      <c r="I45" s="43"/>
      <c r="J45" s="43"/>
      <c r="K45" s="99"/>
      <c r="L45" s="43"/>
      <c r="M45" s="43"/>
      <c r="N45" s="97"/>
      <c r="O45" s="82"/>
      <c r="P45" s="82"/>
    </row>
    <row r="46" spans="1:28" s="83" customFormat="1" ht="16.5" thickBot="1">
      <c r="A46" s="101" t="s">
        <v>39</v>
      </c>
      <c r="B46" s="102"/>
      <c r="C46" s="103"/>
      <c r="D46" s="103"/>
      <c r="E46" s="102"/>
      <c r="F46" s="103"/>
      <c r="G46" s="103"/>
      <c r="H46" s="102"/>
      <c r="I46" s="103"/>
      <c r="J46" s="103"/>
      <c r="K46" s="102"/>
      <c r="L46" s="103"/>
      <c r="M46" s="103"/>
      <c r="N46" s="104"/>
      <c r="O46" s="82"/>
      <c r="P46" s="82"/>
      <c r="R46" s="105" t="s">
        <v>40</v>
      </c>
      <c r="S46" s="105"/>
      <c r="T46" s="105"/>
      <c r="U46" s="105"/>
    </row>
    <row r="47" spans="1:28" s="83" customFormat="1" ht="16.5" thickTop="1">
      <c r="A47" s="89" t="s">
        <v>26</v>
      </c>
      <c r="B47" s="90" t="s">
        <v>27</v>
      </c>
      <c r="C47" s="91" t="s">
        <v>28</v>
      </c>
      <c r="D47" s="91" t="s">
        <v>29</v>
      </c>
      <c r="E47" s="90" t="s">
        <v>30</v>
      </c>
      <c r="F47" s="91" t="s">
        <v>31</v>
      </c>
      <c r="G47" s="91" t="s">
        <v>32</v>
      </c>
      <c r="H47" s="90" t="s">
        <v>33</v>
      </c>
      <c r="I47" s="91" t="s">
        <v>34</v>
      </c>
      <c r="J47" s="91" t="s">
        <v>35</v>
      </c>
      <c r="K47" s="90" t="s">
        <v>36</v>
      </c>
      <c r="L47" s="91" t="s">
        <v>37</v>
      </c>
      <c r="M47" s="91" t="s">
        <v>38</v>
      </c>
      <c r="N47" s="92" t="s">
        <v>12</v>
      </c>
      <c r="O47" s="93"/>
      <c r="P47" s="93"/>
      <c r="Q47" s="98">
        <f>Q48-15/(60*24)</f>
        <v>0.66666666666666674</v>
      </c>
      <c r="R47" s="106" t="s">
        <v>41</v>
      </c>
      <c r="S47" s="106" t="s">
        <v>42</v>
      </c>
      <c r="T47" s="106" t="s">
        <v>43</v>
      </c>
      <c r="U47" s="106" t="s">
        <v>44</v>
      </c>
      <c r="V47" s="105" t="s">
        <v>45</v>
      </c>
    </row>
    <row r="48" spans="1:28" s="83" customFormat="1">
      <c r="A48" s="94">
        <f>A33</f>
        <v>0.67708333333333337</v>
      </c>
      <c r="B48" s="99" t="str">
        <f>IF(B33="","",B33)</f>
        <v/>
      </c>
      <c r="C48" s="43">
        <f>IF(C33="","",C33)</f>
        <v>0</v>
      </c>
      <c r="D48" s="43" t="str">
        <f>IF(D33="","",D33)</f>
        <v/>
      </c>
      <c r="E48" s="99" t="str">
        <f t="shared" ref="E48:M48" si="1">IF(E33="","",E33)</f>
        <v/>
      </c>
      <c r="F48" s="43">
        <f t="shared" si="1"/>
        <v>0</v>
      </c>
      <c r="G48" s="43" t="str">
        <f t="shared" si="1"/>
        <v/>
      </c>
      <c r="H48" s="99" t="str">
        <f t="shared" si="1"/>
        <v/>
      </c>
      <c r="I48" s="43">
        <f t="shared" si="1"/>
        <v>0</v>
      </c>
      <c r="J48" s="43" t="str">
        <f t="shared" si="1"/>
        <v/>
      </c>
      <c r="K48" s="99" t="str">
        <f t="shared" si="1"/>
        <v/>
      </c>
      <c r="L48" s="43">
        <f t="shared" si="1"/>
        <v>1</v>
      </c>
      <c r="M48" s="43" t="str">
        <f t="shared" si="1"/>
        <v/>
      </c>
      <c r="N48" s="97">
        <f t="shared" ref="N48:N58" si="2">IF(SUM(B48:M48)&lt;=0,"",SUM(B48:M48))</f>
        <v>1</v>
      </c>
      <c r="O48" s="84"/>
      <c r="P48" s="84"/>
      <c r="Q48" s="98">
        <f t="shared" ref="Q48:Q59" si="3">$A48</f>
        <v>0.67708333333333337</v>
      </c>
      <c r="R48" s="106">
        <f t="shared" ref="R48:R59" si="4">SUM(B48:D48)</f>
        <v>0</v>
      </c>
      <c r="S48" s="106">
        <f t="shared" ref="S48:S59" si="5">SUM(E48:G48)</f>
        <v>0</v>
      </c>
      <c r="T48" s="106">
        <f t="shared" ref="T48:T59" si="6">SUM(H48:J48)</f>
        <v>0</v>
      </c>
      <c r="U48" s="106">
        <f t="shared" ref="U48:U59" si="7">SUM(K48:M48)</f>
        <v>1</v>
      </c>
      <c r="V48" s="106">
        <f t="shared" ref="V48:V59" si="8">SUM(R48:U48)</f>
        <v>1</v>
      </c>
      <c r="W48" s="107">
        <f>MATCH(S64,Q47:Q59,0)</f>
        <v>1</v>
      </c>
    </row>
    <row r="49" spans="1:23" s="83" customFormat="1">
      <c r="A49" s="94">
        <f t="shared" ref="A49:A59" si="9">IF(A34="","",A48+15/1440)</f>
        <v>0.6875</v>
      </c>
      <c r="B49" s="99" t="str">
        <f t="shared" ref="B49:M59" si="10">IF(B34="","",B34-B33)</f>
        <v/>
      </c>
      <c r="C49" s="43">
        <f t="shared" si="10"/>
        <v>0</v>
      </c>
      <c r="D49" s="43" t="str">
        <f t="shared" si="10"/>
        <v/>
      </c>
      <c r="E49" s="99" t="str">
        <f t="shared" si="10"/>
        <v/>
      </c>
      <c r="F49" s="43">
        <f t="shared" si="10"/>
        <v>0</v>
      </c>
      <c r="G49" s="43" t="str">
        <f t="shared" si="10"/>
        <v/>
      </c>
      <c r="H49" s="99" t="str">
        <f t="shared" si="10"/>
        <v/>
      </c>
      <c r="I49" s="43">
        <f t="shared" si="10"/>
        <v>0</v>
      </c>
      <c r="J49" s="43" t="str">
        <f t="shared" si="10"/>
        <v/>
      </c>
      <c r="K49" s="99" t="str">
        <f t="shared" si="10"/>
        <v/>
      </c>
      <c r="L49" s="43">
        <f t="shared" si="10"/>
        <v>0</v>
      </c>
      <c r="M49" s="43" t="str">
        <f t="shared" si="10"/>
        <v/>
      </c>
      <c r="N49" s="97" t="str">
        <f t="shared" si="2"/>
        <v/>
      </c>
      <c r="O49" s="84"/>
      <c r="P49" s="84"/>
      <c r="Q49" s="98">
        <f t="shared" si="3"/>
        <v>0.6875</v>
      </c>
      <c r="R49" s="106">
        <f t="shared" si="4"/>
        <v>0</v>
      </c>
      <c r="S49" s="106">
        <f t="shared" si="5"/>
        <v>0</v>
      </c>
      <c r="T49" s="106">
        <f t="shared" si="6"/>
        <v>0</v>
      </c>
      <c r="U49" s="106">
        <f t="shared" si="7"/>
        <v>0</v>
      </c>
      <c r="V49" s="106">
        <f t="shared" si="8"/>
        <v>0</v>
      </c>
      <c r="W49" s="107">
        <f>W48+1</f>
        <v>2</v>
      </c>
    </row>
    <row r="50" spans="1:23" s="83" customFormat="1">
      <c r="A50" s="94">
        <f t="shared" si="9"/>
        <v>0.69791666666666663</v>
      </c>
      <c r="B50" s="99" t="str">
        <f t="shared" si="10"/>
        <v/>
      </c>
      <c r="C50" s="43">
        <f t="shared" si="10"/>
        <v>0</v>
      </c>
      <c r="D50" s="43" t="str">
        <f t="shared" si="10"/>
        <v/>
      </c>
      <c r="E50" s="99" t="str">
        <f t="shared" si="10"/>
        <v/>
      </c>
      <c r="F50" s="43">
        <f t="shared" si="10"/>
        <v>3</v>
      </c>
      <c r="G50" s="43" t="str">
        <f t="shared" si="10"/>
        <v/>
      </c>
      <c r="H50" s="99" t="str">
        <f t="shared" si="10"/>
        <v/>
      </c>
      <c r="I50" s="43">
        <f t="shared" si="10"/>
        <v>1</v>
      </c>
      <c r="J50" s="43" t="str">
        <f t="shared" si="10"/>
        <v/>
      </c>
      <c r="K50" s="99" t="str">
        <f t="shared" si="10"/>
        <v/>
      </c>
      <c r="L50" s="43">
        <f t="shared" si="10"/>
        <v>0</v>
      </c>
      <c r="M50" s="43" t="str">
        <f t="shared" si="10"/>
        <v/>
      </c>
      <c r="N50" s="97">
        <f t="shared" si="2"/>
        <v>4</v>
      </c>
      <c r="O50" s="84"/>
      <c r="P50" s="84"/>
      <c r="Q50" s="98">
        <f t="shared" si="3"/>
        <v>0.69791666666666663</v>
      </c>
      <c r="R50" s="106">
        <f t="shared" si="4"/>
        <v>0</v>
      </c>
      <c r="S50" s="106">
        <f t="shared" si="5"/>
        <v>3</v>
      </c>
      <c r="T50" s="106">
        <f t="shared" si="6"/>
        <v>1</v>
      </c>
      <c r="U50" s="106">
        <f t="shared" si="7"/>
        <v>0</v>
      </c>
      <c r="V50" s="106">
        <f t="shared" si="8"/>
        <v>4</v>
      </c>
      <c r="W50" s="107">
        <f>W49+1</f>
        <v>3</v>
      </c>
    </row>
    <row r="51" spans="1:23" s="83" customFormat="1">
      <c r="A51" s="94">
        <f t="shared" si="9"/>
        <v>0.70833333333333326</v>
      </c>
      <c r="B51" s="99" t="str">
        <f t="shared" si="10"/>
        <v/>
      </c>
      <c r="C51" s="43">
        <f t="shared" si="10"/>
        <v>2</v>
      </c>
      <c r="D51" s="43" t="str">
        <f t="shared" si="10"/>
        <v/>
      </c>
      <c r="E51" s="99" t="str">
        <f t="shared" si="10"/>
        <v/>
      </c>
      <c r="F51" s="43">
        <f t="shared" si="10"/>
        <v>0</v>
      </c>
      <c r="G51" s="43" t="str">
        <f t="shared" si="10"/>
        <v/>
      </c>
      <c r="H51" s="99" t="str">
        <f t="shared" si="10"/>
        <v/>
      </c>
      <c r="I51" s="43">
        <f t="shared" si="10"/>
        <v>1</v>
      </c>
      <c r="J51" s="43" t="str">
        <f t="shared" si="10"/>
        <v/>
      </c>
      <c r="K51" s="99" t="str">
        <f t="shared" si="10"/>
        <v/>
      </c>
      <c r="L51" s="43">
        <f t="shared" si="10"/>
        <v>0</v>
      </c>
      <c r="M51" s="43" t="str">
        <f t="shared" si="10"/>
        <v/>
      </c>
      <c r="N51" s="97">
        <f t="shared" si="2"/>
        <v>3</v>
      </c>
      <c r="O51" s="84"/>
      <c r="P51" s="84"/>
      <c r="Q51" s="98">
        <f t="shared" si="3"/>
        <v>0.70833333333333326</v>
      </c>
      <c r="R51" s="106">
        <f t="shared" si="4"/>
        <v>2</v>
      </c>
      <c r="S51" s="106">
        <f t="shared" si="5"/>
        <v>0</v>
      </c>
      <c r="T51" s="106">
        <f t="shared" si="6"/>
        <v>1</v>
      </c>
      <c r="U51" s="106">
        <f t="shared" si="7"/>
        <v>0</v>
      </c>
      <c r="V51" s="106">
        <f t="shared" si="8"/>
        <v>3</v>
      </c>
      <c r="W51" s="107">
        <f>W50+1</f>
        <v>4</v>
      </c>
    </row>
    <row r="52" spans="1:23" s="83" customFormat="1">
      <c r="A52" s="94">
        <f t="shared" si="9"/>
        <v>0.71874999999999989</v>
      </c>
      <c r="B52" s="99" t="str">
        <f t="shared" si="10"/>
        <v/>
      </c>
      <c r="C52" s="43">
        <f t="shared" si="10"/>
        <v>0</v>
      </c>
      <c r="D52" s="43" t="str">
        <f t="shared" si="10"/>
        <v/>
      </c>
      <c r="E52" s="99" t="str">
        <f t="shared" si="10"/>
        <v/>
      </c>
      <c r="F52" s="43">
        <f t="shared" si="10"/>
        <v>0</v>
      </c>
      <c r="G52" s="43" t="str">
        <f t="shared" si="10"/>
        <v/>
      </c>
      <c r="H52" s="99" t="str">
        <f t="shared" si="10"/>
        <v/>
      </c>
      <c r="I52" s="43">
        <f t="shared" si="10"/>
        <v>0</v>
      </c>
      <c r="J52" s="43" t="str">
        <f t="shared" si="10"/>
        <v/>
      </c>
      <c r="K52" s="99" t="str">
        <f t="shared" si="10"/>
        <v/>
      </c>
      <c r="L52" s="43">
        <f t="shared" si="10"/>
        <v>0</v>
      </c>
      <c r="M52" s="43" t="str">
        <f t="shared" si="10"/>
        <v/>
      </c>
      <c r="N52" s="97" t="str">
        <f t="shared" si="2"/>
        <v/>
      </c>
      <c r="O52" s="84"/>
      <c r="P52" s="84"/>
      <c r="Q52" s="98">
        <f t="shared" si="3"/>
        <v>0.71874999999999989</v>
      </c>
      <c r="R52" s="106">
        <f t="shared" si="4"/>
        <v>0</v>
      </c>
      <c r="S52" s="106">
        <f t="shared" si="5"/>
        <v>0</v>
      </c>
      <c r="T52" s="106">
        <f t="shared" si="6"/>
        <v>0</v>
      </c>
      <c r="U52" s="106">
        <f t="shared" si="7"/>
        <v>0</v>
      </c>
      <c r="V52" s="106">
        <f t="shared" si="8"/>
        <v>0</v>
      </c>
    </row>
    <row r="53" spans="1:23" s="83" customFormat="1">
      <c r="A53" s="94">
        <f t="shared" si="9"/>
        <v>0.72916666666666652</v>
      </c>
      <c r="B53" s="99" t="str">
        <f t="shared" si="10"/>
        <v/>
      </c>
      <c r="C53" s="43">
        <f t="shared" si="10"/>
        <v>0</v>
      </c>
      <c r="D53" s="43" t="str">
        <f t="shared" si="10"/>
        <v/>
      </c>
      <c r="E53" s="99" t="str">
        <f t="shared" si="10"/>
        <v/>
      </c>
      <c r="F53" s="43">
        <f t="shared" si="10"/>
        <v>0</v>
      </c>
      <c r="G53" s="43" t="str">
        <f t="shared" si="10"/>
        <v/>
      </c>
      <c r="H53" s="99" t="str">
        <f t="shared" si="10"/>
        <v/>
      </c>
      <c r="I53" s="43">
        <f t="shared" si="10"/>
        <v>0</v>
      </c>
      <c r="J53" s="43" t="str">
        <f t="shared" si="10"/>
        <v/>
      </c>
      <c r="K53" s="99" t="str">
        <f t="shared" si="10"/>
        <v/>
      </c>
      <c r="L53" s="43">
        <f t="shared" si="10"/>
        <v>0</v>
      </c>
      <c r="M53" s="43" t="str">
        <f t="shared" si="10"/>
        <v/>
      </c>
      <c r="N53" s="97" t="str">
        <f t="shared" si="2"/>
        <v/>
      </c>
      <c r="O53" s="84"/>
      <c r="P53" s="84"/>
      <c r="Q53" s="98">
        <f t="shared" si="3"/>
        <v>0.72916666666666652</v>
      </c>
      <c r="R53" s="106">
        <f t="shared" si="4"/>
        <v>0</v>
      </c>
      <c r="S53" s="106">
        <f t="shared" si="5"/>
        <v>0</v>
      </c>
      <c r="T53" s="106">
        <f t="shared" si="6"/>
        <v>0</v>
      </c>
      <c r="U53" s="106">
        <f t="shared" si="7"/>
        <v>0</v>
      </c>
      <c r="V53" s="106">
        <f t="shared" si="8"/>
        <v>0</v>
      </c>
    </row>
    <row r="54" spans="1:23" s="83" customFormat="1">
      <c r="A54" s="94">
        <f t="shared" si="9"/>
        <v>0.73958333333333315</v>
      </c>
      <c r="B54" s="99" t="str">
        <f t="shared" si="10"/>
        <v/>
      </c>
      <c r="C54" s="43">
        <f t="shared" si="10"/>
        <v>0</v>
      </c>
      <c r="D54" s="43" t="str">
        <f t="shared" si="10"/>
        <v/>
      </c>
      <c r="E54" s="99" t="str">
        <f t="shared" si="10"/>
        <v/>
      </c>
      <c r="F54" s="43">
        <f t="shared" si="10"/>
        <v>0</v>
      </c>
      <c r="G54" s="43" t="str">
        <f t="shared" si="10"/>
        <v/>
      </c>
      <c r="H54" s="99" t="str">
        <f t="shared" si="10"/>
        <v/>
      </c>
      <c r="I54" s="43">
        <f t="shared" si="10"/>
        <v>0</v>
      </c>
      <c r="J54" s="43" t="str">
        <f t="shared" si="10"/>
        <v/>
      </c>
      <c r="K54" s="99" t="str">
        <f t="shared" si="10"/>
        <v/>
      </c>
      <c r="L54" s="43">
        <f t="shared" si="10"/>
        <v>0</v>
      </c>
      <c r="M54" s="43" t="str">
        <f t="shared" si="10"/>
        <v/>
      </c>
      <c r="N54" s="97" t="str">
        <f t="shared" si="2"/>
        <v/>
      </c>
      <c r="O54" s="84"/>
      <c r="P54" s="84"/>
      <c r="Q54" s="98">
        <f t="shared" si="3"/>
        <v>0.73958333333333315</v>
      </c>
      <c r="R54" s="106">
        <f t="shared" si="4"/>
        <v>0</v>
      </c>
      <c r="S54" s="106">
        <f t="shared" si="5"/>
        <v>0</v>
      </c>
      <c r="T54" s="106">
        <f t="shared" si="6"/>
        <v>0</v>
      </c>
      <c r="U54" s="106">
        <f t="shared" si="7"/>
        <v>0</v>
      </c>
      <c r="V54" s="106">
        <f t="shared" si="8"/>
        <v>0</v>
      </c>
    </row>
    <row r="55" spans="1:23" s="83" customFormat="1">
      <c r="A55" s="94">
        <f t="shared" si="9"/>
        <v>0.74999999999999978</v>
      </c>
      <c r="B55" s="99" t="str">
        <f t="shared" si="10"/>
        <v/>
      </c>
      <c r="C55" s="43">
        <f t="shared" si="10"/>
        <v>0</v>
      </c>
      <c r="D55" s="43" t="str">
        <f t="shared" si="10"/>
        <v/>
      </c>
      <c r="E55" s="99" t="str">
        <f t="shared" si="10"/>
        <v/>
      </c>
      <c r="F55" s="43">
        <f t="shared" si="10"/>
        <v>0</v>
      </c>
      <c r="G55" s="43" t="str">
        <f t="shared" si="10"/>
        <v/>
      </c>
      <c r="H55" s="99" t="str">
        <f t="shared" si="10"/>
        <v/>
      </c>
      <c r="I55" s="43">
        <f t="shared" si="10"/>
        <v>1</v>
      </c>
      <c r="J55" s="43" t="str">
        <f t="shared" si="10"/>
        <v/>
      </c>
      <c r="K55" s="99" t="str">
        <f t="shared" si="10"/>
        <v/>
      </c>
      <c r="L55" s="43">
        <f t="shared" si="10"/>
        <v>0</v>
      </c>
      <c r="M55" s="43" t="str">
        <f t="shared" si="10"/>
        <v/>
      </c>
      <c r="N55" s="97">
        <f t="shared" si="2"/>
        <v>1</v>
      </c>
      <c r="O55" s="84"/>
      <c r="P55" s="84"/>
      <c r="Q55" s="98">
        <f t="shared" si="3"/>
        <v>0.74999999999999978</v>
      </c>
      <c r="R55" s="106">
        <f t="shared" si="4"/>
        <v>0</v>
      </c>
      <c r="S55" s="106">
        <f t="shared" si="5"/>
        <v>0</v>
      </c>
      <c r="T55" s="106">
        <f t="shared" si="6"/>
        <v>1</v>
      </c>
      <c r="U55" s="106">
        <f t="shared" si="7"/>
        <v>0</v>
      </c>
      <c r="V55" s="106">
        <f t="shared" si="8"/>
        <v>1</v>
      </c>
    </row>
    <row r="56" spans="1:23" s="83" customFormat="1">
      <c r="A56" s="94" t="str">
        <f t="shared" si="9"/>
        <v/>
      </c>
      <c r="B56" s="99" t="str">
        <f t="shared" si="10"/>
        <v/>
      </c>
      <c r="C56" s="43" t="s">
        <v>17</v>
      </c>
      <c r="D56" s="43" t="str">
        <f t="shared" si="10"/>
        <v/>
      </c>
      <c r="E56" s="99" t="str">
        <f t="shared" si="10"/>
        <v/>
      </c>
      <c r="F56" s="43" t="str">
        <f t="shared" si="10"/>
        <v/>
      </c>
      <c r="G56" s="43" t="str">
        <f t="shared" si="10"/>
        <v/>
      </c>
      <c r="H56" s="99" t="str">
        <f t="shared" si="10"/>
        <v/>
      </c>
      <c r="I56" s="43" t="str">
        <f t="shared" si="10"/>
        <v/>
      </c>
      <c r="J56" s="43" t="str">
        <f t="shared" si="10"/>
        <v/>
      </c>
      <c r="K56" s="99" t="str">
        <f t="shared" si="10"/>
        <v/>
      </c>
      <c r="L56" s="43" t="str">
        <f t="shared" si="10"/>
        <v/>
      </c>
      <c r="M56" s="43" t="str">
        <f t="shared" si="10"/>
        <v/>
      </c>
      <c r="N56" s="97" t="str">
        <f t="shared" si="2"/>
        <v/>
      </c>
      <c r="O56" s="84"/>
      <c r="P56" s="84"/>
      <c r="Q56" s="98" t="str">
        <f t="shared" si="3"/>
        <v/>
      </c>
      <c r="R56" s="106">
        <f t="shared" si="4"/>
        <v>0</v>
      </c>
      <c r="S56" s="106">
        <f t="shared" si="5"/>
        <v>0</v>
      </c>
      <c r="T56" s="106">
        <f t="shared" si="6"/>
        <v>0</v>
      </c>
      <c r="U56" s="106">
        <f t="shared" si="7"/>
        <v>0</v>
      </c>
      <c r="V56" s="106">
        <f t="shared" si="8"/>
        <v>0</v>
      </c>
    </row>
    <row r="57" spans="1:23" s="83" customFormat="1">
      <c r="A57" s="94" t="str">
        <f t="shared" si="9"/>
        <v/>
      </c>
      <c r="B57" s="99" t="str">
        <f t="shared" si="10"/>
        <v/>
      </c>
      <c r="C57" s="43" t="str">
        <f t="shared" si="10"/>
        <v/>
      </c>
      <c r="D57" s="43" t="str">
        <f t="shared" si="10"/>
        <v/>
      </c>
      <c r="E57" s="99" t="str">
        <f t="shared" si="10"/>
        <v/>
      </c>
      <c r="F57" s="43" t="str">
        <f t="shared" si="10"/>
        <v/>
      </c>
      <c r="G57" s="43" t="str">
        <f t="shared" si="10"/>
        <v/>
      </c>
      <c r="H57" s="99" t="str">
        <f t="shared" si="10"/>
        <v/>
      </c>
      <c r="I57" s="43" t="str">
        <f t="shared" si="10"/>
        <v/>
      </c>
      <c r="J57" s="43" t="str">
        <f t="shared" si="10"/>
        <v/>
      </c>
      <c r="K57" s="99" t="str">
        <f t="shared" si="10"/>
        <v/>
      </c>
      <c r="L57" s="43" t="str">
        <f t="shared" si="10"/>
        <v/>
      </c>
      <c r="M57" s="43" t="str">
        <f t="shared" si="10"/>
        <v/>
      </c>
      <c r="N57" s="97" t="str">
        <f t="shared" si="2"/>
        <v/>
      </c>
      <c r="O57" s="84"/>
      <c r="P57" s="84"/>
      <c r="Q57" s="98" t="str">
        <f t="shared" si="3"/>
        <v/>
      </c>
      <c r="R57" s="106">
        <f t="shared" si="4"/>
        <v>0</v>
      </c>
      <c r="S57" s="106">
        <f t="shared" si="5"/>
        <v>0</v>
      </c>
      <c r="T57" s="106">
        <f t="shared" si="6"/>
        <v>0</v>
      </c>
      <c r="U57" s="106">
        <f t="shared" si="7"/>
        <v>0</v>
      </c>
      <c r="V57" s="106">
        <f t="shared" si="8"/>
        <v>0</v>
      </c>
    </row>
    <row r="58" spans="1:23" s="83" customFormat="1">
      <c r="A58" s="94" t="str">
        <f t="shared" si="9"/>
        <v/>
      </c>
      <c r="B58" s="99" t="str">
        <f t="shared" si="10"/>
        <v/>
      </c>
      <c r="C58" s="43" t="str">
        <f t="shared" si="10"/>
        <v/>
      </c>
      <c r="D58" s="43" t="str">
        <f t="shared" si="10"/>
        <v/>
      </c>
      <c r="E58" s="99" t="str">
        <f t="shared" si="10"/>
        <v/>
      </c>
      <c r="F58" s="43" t="str">
        <f t="shared" si="10"/>
        <v/>
      </c>
      <c r="G58" s="43" t="str">
        <f t="shared" si="10"/>
        <v/>
      </c>
      <c r="H58" s="99" t="str">
        <f t="shared" si="10"/>
        <v/>
      </c>
      <c r="I58" s="43" t="str">
        <f t="shared" si="10"/>
        <v/>
      </c>
      <c r="J58" s="43" t="str">
        <f t="shared" si="10"/>
        <v/>
      </c>
      <c r="K58" s="99" t="str">
        <f t="shared" si="10"/>
        <v/>
      </c>
      <c r="L58" s="43" t="str">
        <f t="shared" si="10"/>
        <v/>
      </c>
      <c r="M58" s="43" t="str">
        <f t="shared" si="10"/>
        <v/>
      </c>
      <c r="N58" s="97" t="str">
        <f t="shared" si="2"/>
        <v/>
      </c>
      <c r="O58" s="84"/>
      <c r="P58" s="84"/>
      <c r="Q58" s="98" t="str">
        <f t="shared" si="3"/>
        <v/>
      </c>
      <c r="R58" s="106">
        <f t="shared" si="4"/>
        <v>0</v>
      </c>
      <c r="S58" s="106">
        <f t="shared" si="5"/>
        <v>0</v>
      </c>
      <c r="T58" s="106">
        <f t="shared" si="6"/>
        <v>0</v>
      </c>
      <c r="U58" s="106">
        <f t="shared" si="7"/>
        <v>0</v>
      </c>
      <c r="V58" s="106">
        <f t="shared" si="8"/>
        <v>0</v>
      </c>
    </row>
    <row r="59" spans="1:23" s="83" customFormat="1">
      <c r="A59" s="94" t="str">
        <f t="shared" si="9"/>
        <v/>
      </c>
      <c r="B59" s="99" t="str">
        <f t="shared" si="10"/>
        <v/>
      </c>
      <c r="C59" s="43" t="str">
        <f t="shared" si="10"/>
        <v/>
      </c>
      <c r="D59" s="43" t="str">
        <f t="shared" si="10"/>
        <v/>
      </c>
      <c r="E59" s="99" t="str">
        <f t="shared" si="10"/>
        <v/>
      </c>
      <c r="F59" s="43" t="str">
        <f t="shared" si="10"/>
        <v/>
      </c>
      <c r="G59" s="43" t="str">
        <f t="shared" si="10"/>
        <v/>
      </c>
      <c r="H59" s="99" t="str">
        <f t="shared" si="10"/>
        <v/>
      </c>
      <c r="I59" s="43" t="str">
        <f t="shared" si="10"/>
        <v/>
      </c>
      <c r="J59" s="43" t="str">
        <f t="shared" si="10"/>
        <v/>
      </c>
      <c r="K59" s="99" t="str">
        <f t="shared" si="10"/>
        <v/>
      </c>
      <c r="L59" s="43" t="str">
        <f t="shared" si="10"/>
        <v/>
      </c>
      <c r="M59" s="43" t="str">
        <f t="shared" si="10"/>
        <v/>
      </c>
      <c r="N59" s="97" t="str">
        <f>IF(SUM(B59:M59)&lt;=0,"",SUM(B59:M59))</f>
        <v/>
      </c>
      <c r="O59" s="84"/>
      <c r="P59" s="84"/>
      <c r="Q59" s="98" t="str">
        <f t="shared" si="3"/>
        <v/>
      </c>
      <c r="R59" s="106">
        <f t="shared" si="4"/>
        <v>0</v>
      </c>
      <c r="S59" s="106">
        <f t="shared" si="5"/>
        <v>0</v>
      </c>
      <c r="T59" s="106">
        <f t="shared" si="6"/>
        <v>0</v>
      </c>
      <c r="U59" s="106">
        <f t="shared" si="7"/>
        <v>0</v>
      </c>
      <c r="V59" s="106">
        <f t="shared" si="8"/>
        <v>0</v>
      </c>
    </row>
    <row r="60" spans="1:23" s="83" customFormat="1">
      <c r="A60" s="100"/>
      <c r="B60" s="99"/>
      <c r="C60" s="43"/>
      <c r="D60" s="43"/>
      <c r="E60" s="99"/>
      <c r="F60" s="43"/>
      <c r="G60" s="43"/>
      <c r="H60" s="99"/>
      <c r="I60" s="43"/>
      <c r="J60" s="43"/>
      <c r="K60" s="99"/>
      <c r="L60" s="43"/>
      <c r="M60" s="43"/>
      <c r="N60" s="97"/>
      <c r="O60" s="82"/>
      <c r="P60" s="82"/>
    </row>
    <row r="61" spans="1:23" s="83" customFormat="1" ht="16.5" thickBot="1">
      <c r="A61" s="101" t="s">
        <v>46</v>
      </c>
      <c r="B61" s="108"/>
      <c r="C61" s="109"/>
      <c r="D61" s="109"/>
      <c r="E61" s="108"/>
      <c r="F61" s="109"/>
      <c r="G61" s="109"/>
      <c r="H61" s="108"/>
      <c r="I61" s="109"/>
      <c r="J61" s="109"/>
      <c r="K61" s="108"/>
      <c r="L61" s="109"/>
      <c r="M61" s="109"/>
      <c r="N61" s="110"/>
      <c r="O61" s="82"/>
      <c r="P61" s="82"/>
      <c r="Q61" s="111">
        <f>INDEX(Q48:Q58,W61,1)</f>
        <v>0.69791666666666663</v>
      </c>
      <c r="R61" s="106">
        <f>MAX(INDEX(R48:V59,W48,1),INDEX(R48:V59,W49,1),INDEX(R48:V59,W50,1),INDEX(R48:V59,W51,1))</f>
        <v>2</v>
      </c>
      <c r="S61" s="106">
        <f>MAX(INDEX(R48:V59,W48,2),INDEX(R48:V59,W49,2),INDEX(R48:V59,W50,2),INDEX(R48:V59,W51,2))</f>
        <v>3</v>
      </c>
      <c r="T61" s="106">
        <f>MAX(INDEX(R48:V59,W48,3),INDEX(R48:V59,W49,3),INDEX(R48:V59,W50,3),INDEX(R48:V59,W51,3))</f>
        <v>1</v>
      </c>
      <c r="U61" s="106">
        <f>MAX(INDEX(R48:V59,W48,4),INDEX(R48:V59,W49,4),INDEX(R48:V59,W50,4),INDEX(R48:V59,W51,4))</f>
        <v>1</v>
      </c>
      <c r="V61" s="106">
        <f>MAX(INDEX(V48:V59,W48,1),INDEX(V48:V59,W49,1),INDEX(V48:V59,W50,1),INDEX(V48:V59,W51,1))</f>
        <v>4</v>
      </c>
      <c r="W61" s="83">
        <f>MATCH(V61,V48:V59,0)</f>
        <v>3</v>
      </c>
    </row>
    <row r="62" spans="1:23" s="83" customFormat="1" ht="16.5" thickTop="1">
      <c r="A62" s="89" t="s">
        <v>47</v>
      </c>
      <c r="B62" s="90" t="s">
        <v>27</v>
      </c>
      <c r="C62" s="91" t="s">
        <v>28</v>
      </c>
      <c r="D62" s="91" t="s">
        <v>29</v>
      </c>
      <c r="E62" s="90" t="s">
        <v>30</v>
      </c>
      <c r="F62" s="91" t="s">
        <v>31</v>
      </c>
      <c r="G62" s="91" t="s">
        <v>32</v>
      </c>
      <c r="H62" s="90" t="s">
        <v>33</v>
      </c>
      <c r="I62" s="91" t="s">
        <v>34</v>
      </c>
      <c r="J62" s="91" t="s">
        <v>35</v>
      </c>
      <c r="K62" s="90" t="s">
        <v>36</v>
      </c>
      <c r="L62" s="91" t="s">
        <v>37</v>
      </c>
      <c r="M62" s="91" t="s">
        <v>38</v>
      </c>
      <c r="N62" s="92" t="s">
        <v>12</v>
      </c>
      <c r="O62" s="93"/>
      <c r="P62" s="93"/>
    </row>
    <row r="63" spans="1:23" s="83" customFormat="1">
      <c r="A63" s="94">
        <f>A33-15/1440</f>
        <v>0.66666666666666674</v>
      </c>
      <c r="B63" s="99" t="str">
        <f t="shared" ref="B63:M63" si="11">IF(B33="","",IF($A$63&lt;&gt;"",SUM(B48:B51),""))</f>
        <v/>
      </c>
      <c r="C63" s="43">
        <f t="shared" si="11"/>
        <v>2</v>
      </c>
      <c r="D63" s="43" t="str">
        <f t="shared" si="11"/>
        <v/>
      </c>
      <c r="E63" s="99" t="str">
        <f t="shared" si="11"/>
        <v/>
      </c>
      <c r="F63" s="43">
        <f t="shared" si="11"/>
        <v>3</v>
      </c>
      <c r="G63" s="43" t="str">
        <f t="shared" si="11"/>
        <v/>
      </c>
      <c r="H63" s="99" t="str">
        <f t="shared" si="11"/>
        <v/>
      </c>
      <c r="I63" s="43">
        <f t="shared" si="11"/>
        <v>2</v>
      </c>
      <c r="J63" s="43" t="str">
        <f t="shared" si="11"/>
        <v/>
      </c>
      <c r="K63" s="99" t="str">
        <f t="shared" si="11"/>
        <v/>
      </c>
      <c r="L63" s="43">
        <f t="shared" si="11"/>
        <v>1</v>
      </c>
      <c r="M63" s="43" t="str">
        <f t="shared" si="11"/>
        <v/>
      </c>
      <c r="N63" s="97">
        <f t="shared" ref="N63:N71" si="12">IF(SUM(B63:M63)&lt;=0,"",SUM(B63:M63))</f>
        <v>8</v>
      </c>
      <c r="O63" s="84"/>
      <c r="P63" s="84"/>
      <c r="Q63" s="98">
        <f t="shared" ref="Q63:Q71" si="13">$A63</f>
        <v>0.66666666666666674</v>
      </c>
      <c r="R63" s="83">
        <f>MAX(N63:N71)</f>
        <v>8</v>
      </c>
    </row>
    <row r="64" spans="1:23" s="76" customFormat="1">
      <c r="A64" s="94">
        <f t="shared" ref="A64:A71" si="14">IF(A63="","",IF(A52="","",A63+15/1440))</f>
        <v>0.67708333333333337</v>
      </c>
      <c r="B64" s="99" t="str">
        <f>IF($A$64="","",IF(B52&lt;&gt;"",SUM(B49:B52),""))</f>
        <v/>
      </c>
      <c r="C64" s="43">
        <f>IF($A$64="","",IF(C52&lt;&gt;"",SUM(C49:C52),""))</f>
        <v>2</v>
      </c>
      <c r="D64" s="43" t="str">
        <f t="shared" ref="D64:M64" si="15">IF($A$64="","",IF(D52&lt;&gt;"",SUM(D49:D52),""))</f>
        <v/>
      </c>
      <c r="E64" s="99" t="str">
        <f t="shared" si="15"/>
        <v/>
      </c>
      <c r="F64" s="43">
        <f t="shared" si="15"/>
        <v>3</v>
      </c>
      <c r="G64" s="43" t="str">
        <f t="shared" si="15"/>
        <v/>
      </c>
      <c r="H64" s="99" t="str">
        <f t="shared" si="15"/>
        <v/>
      </c>
      <c r="I64" s="43">
        <f t="shared" si="15"/>
        <v>2</v>
      </c>
      <c r="J64" s="43" t="str">
        <f t="shared" si="15"/>
        <v/>
      </c>
      <c r="K64" s="99" t="str">
        <f t="shared" si="15"/>
        <v/>
      </c>
      <c r="L64" s="43">
        <f t="shared" si="15"/>
        <v>0</v>
      </c>
      <c r="M64" s="43" t="str">
        <f t="shared" si="15"/>
        <v/>
      </c>
      <c r="N64" s="97">
        <f t="shared" si="12"/>
        <v>7</v>
      </c>
      <c r="O64" s="84"/>
      <c r="P64" s="84"/>
      <c r="Q64" s="98">
        <f t="shared" si="13"/>
        <v>0.67708333333333337</v>
      </c>
      <c r="R64" s="83">
        <f>MATCH(R63,N63:N71,0)</f>
        <v>1</v>
      </c>
      <c r="S64" s="98">
        <f>INDEX(Q63:Q71,R64,1)</f>
        <v>0.66666666666666674</v>
      </c>
      <c r="T64" s="83"/>
    </row>
    <row r="65" spans="1:20" s="83" customFormat="1">
      <c r="A65" s="94">
        <f t="shared" si="14"/>
        <v>0.6875</v>
      </c>
      <c r="B65" s="99" t="str">
        <f>IF($A$65="","",IF(B53&lt;&gt;"",SUM(B50:B53),""))</f>
        <v/>
      </c>
      <c r="C65" s="43">
        <f>IF($A$65="","",IF(C53&lt;&gt;"",SUM(C50:C53),""))</f>
        <v>2</v>
      </c>
      <c r="D65" s="43" t="str">
        <f t="shared" ref="D65:M65" si="16">IF($A$65="","",IF(D53&lt;&gt;"",SUM(D50:D53),""))</f>
        <v/>
      </c>
      <c r="E65" s="99" t="str">
        <f t="shared" si="16"/>
        <v/>
      </c>
      <c r="F65" s="43">
        <f t="shared" si="16"/>
        <v>3</v>
      </c>
      <c r="G65" s="43" t="str">
        <f t="shared" si="16"/>
        <v/>
      </c>
      <c r="H65" s="99" t="str">
        <f t="shared" si="16"/>
        <v/>
      </c>
      <c r="I65" s="43">
        <f t="shared" si="16"/>
        <v>2</v>
      </c>
      <c r="J65" s="43" t="str">
        <f t="shared" si="16"/>
        <v/>
      </c>
      <c r="K65" s="99" t="str">
        <f t="shared" si="16"/>
        <v/>
      </c>
      <c r="L65" s="43">
        <f t="shared" si="16"/>
        <v>0</v>
      </c>
      <c r="M65" s="43" t="str">
        <f t="shared" si="16"/>
        <v/>
      </c>
      <c r="N65" s="97">
        <f t="shared" si="12"/>
        <v>7</v>
      </c>
      <c r="O65" s="84"/>
      <c r="P65" s="84"/>
      <c r="Q65" s="98">
        <f t="shared" si="13"/>
        <v>0.6875</v>
      </c>
    </row>
    <row r="66" spans="1:20" s="83" customFormat="1">
      <c r="A66" s="94">
        <f t="shared" si="14"/>
        <v>0.69791666666666663</v>
      </c>
      <c r="B66" s="99" t="str">
        <f>IF($A$64="","",IF(B54&lt;&gt;"",SUM(B51:B54),""))</f>
        <v/>
      </c>
      <c r="C66" s="43">
        <f>IF($A$64="","",IF(C54&lt;&gt;"",SUM(C51:C54),""))</f>
        <v>2</v>
      </c>
      <c r="D66" s="43" t="str">
        <f t="shared" ref="D66:M66" si="17">IF($A$64="","",IF(D54&lt;&gt;"",SUM(D51:D54),""))</f>
        <v/>
      </c>
      <c r="E66" s="99" t="str">
        <f t="shared" si="17"/>
        <v/>
      </c>
      <c r="F66" s="43">
        <f t="shared" si="17"/>
        <v>0</v>
      </c>
      <c r="G66" s="43" t="str">
        <f t="shared" si="17"/>
        <v/>
      </c>
      <c r="H66" s="99" t="str">
        <f t="shared" si="17"/>
        <v/>
      </c>
      <c r="I66" s="43">
        <f t="shared" si="17"/>
        <v>1</v>
      </c>
      <c r="J66" s="43" t="str">
        <f t="shared" si="17"/>
        <v/>
      </c>
      <c r="K66" s="99" t="str">
        <f t="shared" si="17"/>
        <v/>
      </c>
      <c r="L66" s="43">
        <f t="shared" si="17"/>
        <v>0</v>
      </c>
      <c r="M66" s="43" t="str">
        <f t="shared" si="17"/>
        <v/>
      </c>
      <c r="N66" s="97">
        <f>IF(SUM(B66:M66)&lt;=0,"",SUM(B66:M66))</f>
        <v>3</v>
      </c>
      <c r="O66" s="84"/>
      <c r="P66" s="84"/>
      <c r="Q66" s="98">
        <f t="shared" si="13"/>
        <v>0.69791666666666663</v>
      </c>
    </row>
    <row r="67" spans="1:20" s="83" customFormat="1">
      <c r="A67" s="94">
        <f t="shared" si="14"/>
        <v>0.70833333333333326</v>
      </c>
      <c r="B67" s="99" t="str">
        <f>IF($A$65="","",IF(B55&lt;&gt;"",SUM(B52:B55),""))</f>
        <v/>
      </c>
      <c r="C67" s="43">
        <f>IF($A$65="","",IF(C55&lt;&gt;"",SUM(C52:C55),""))</f>
        <v>0</v>
      </c>
      <c r="D67" s="43" t="str">
        <f t="shared" ref="D67:M67" si="18">IF($A$65="","",IF(D55&lt;&gt;"",SUM(D52:D55),""))</f>
        <v/>
      </c>
      <c r="E67" s="99" t="str">
        <f t="shared" si="18"/>
        <v/>
      </c>
      <c r="F67" s="43">
        <f t="shared" si="18"/>
        <v>0</v>
      </c>
      <c r="G67" s="43" t="str">
        <f t="shared" si="18"/>
        <v/>
      </c>
      <c r="H67" s="99" t="str">
        <f t="shared" si="18"/>
        <v/>
      </c>
      <c r="I67" s="43">
        <f t="shared" si="18"/>
        <v>1</v>
      </c>
      <c r="J67" s="43" t="str">
        <f t="shared" si="18"/>
        <v/>
      </c>
      <c r="K67" s="99" t="str">
        <f t="shared" si="18"/>
        <v/>
      </c>
      <c r="L67" s="43">
        <f t="shared" si="18"/>
        <v>0</v>
      </c>
      <c r="M67" s="43" t="str">
        <f t="shared" si="18"/>
        <v/>
      </c>
      <c r="N67" s="97">
        <f>IF(SUM(B67:M67)&lt;=0,"",SUM(B67:M67))</f>
        <v>1</v>
      </c>
      <c r="O67" s="84"/>
      <c r="P67" s="84"/>
      <c r="Q67" s="98">
        <f t="shared" si="13"/>
        <v>0.70833333333333326</v>
      </c>
    </row>
    <row r="68" spans="1:20" s="83" customFormat="1">
      <c r="A68" s="94" t="str">
        <f t="shared" si="14"/>
        <v/>
      </c>
      <c r="B68" s="99" t="str">
        <f t="shared" ref="B68:M68" si="19">IF(B56&lt;&gt;"",SUM(B53:B56),"")</f>
        <v/>
      </c>
      <c r="C68" s="43" t="s">
        <v>17</v>
      </c>
      <c r="D68" s="43" t="str">
        <f t="shared" si="19"/>
        <v/>
      </c>
      <c r="E68" s="99" t="str">
        <f t="shared" si="19"/>
        <v/>
      </c>
      <c r="F68" s="43" t="str">
        <f t="shared" si="19"/>
        <v/>
      </c>
      <c r="G68" s="43" t="str">
        <f t="shared" si="19"/>
        <v/>
      </c>
      <c r="H68" s="99" t="str">
        <f t="shared" si="19"/>
        <v/>
      </c>
      <c r="I68" s="43" t="str">
        <f t="shared" si="19"/>
        <v/>
      </c>
      <c r="J68" s="43" t="str">
        <f t="shared" si="19"/>
        <v/>
      </c>
      <c r="K68" s="99" t="str">
        <f t="shared" si="19"/>
        <v/>
      </c>
      <c r="L68" s="43" t="str">
        <f t="shared" si="19"/>
        <v/>
      </c>
      <c r="M68" s="43" t="str">
        <f t="shared" si="19"/>
        <v/>
      </c>
      <c r="N68" s="97" t="str">
        <f>IF(SUM(B68:M68)&lt;=0,"",SUM(B68:M68))</f>
        <v/>
      </c>
      <c r="O68" s="84"/>
      <c r="P68" s="84"/>
      <c r="Q68" s="98" t="str">
        <f t="shared" si="13"/>
        <v/>
      </c>
    </row>
    <row r="69" spans="1:20" s="83" customFormat="1">
      <c r="A69" s="94" t="str">
        <f t="shared" si="14"/>
        <v/>
      </c>
      <c r="B69" s="99" t="str">
        <f>IF($A$71="","",IF(B57&lt;&gt;"",SUM(B54:B57),""))</f>
        <v/>
      </c>
      <c r="C69" s="43" t="str">
        <f>IF($A$71="","",IF(C57&lt;&gt;"",SUM(C54:C57),""))</f>
        <v/>
      </c>
      <c r="D69" s="43" t="str">
        <f t="shared" ref="D69:M69" si="20">IF($A$71="","",IF(D57&lt;&gt;"",SUM(D54:D57),""))</f>
        <v/>
      </c>
      <c r="E69" s="99" t="str">
        <f t="shared" si="20"/>
        <v/>
      </c>
      <c r="F69" s="43" t="str">
        <f t="shared" si="20"/>
        <v/>
      </c>
      <c r="G69" s="43" t="str">
        <f t="shared" si="20"/>
        <v/>
      </c>
      <c r="H69" s="99" t="str">
        <f t="shared" si="20"/>
        <v/>
      </c>
      <c r="I69" s="43" t="str">
        <f t="shared" si="20"/>
        <v/>
      </c>
      <c r="J69" s="43" t="str">
        <f t="shared" si="20"/>
        <v/>
      </c>
      <c r="K69" s="99" t="str">
        <f t="shared" si="20"/>
        <v/>
      </c>
      <c r="L69" s="43" t="str">
        <f t="shared" si="20"/>
        <v/>
      </c>
      <c r="M69" s="43" t="str">
        <f t="shared" si="20"/>
        <v/>
      </c>
      <c r="N69" s="97" t="str">
        <f>IF(SUM(B69:M69)&lt;=0,"",SUM(B69:M69))</f>
        <v/>
      </c>
      <c r="O69" s="84"/>
      <c r="P69" s="84"/>
      <c r="Q69" s="98" t="str">
        <f t="shared" si="13"/>
        <v/>
      </c>
    </row>
    <row r="70" spans="1:20" s="83" customFormat="1">
      <c r="A70" s="94" t="str">
        <f t="shared" si="14"/>
        <v/>
      </c>
      <c r="B70" s="99" t="str">
        <f t="shared" ref="B70:M70" si="21">IF(B58&lt;&gt;"",SUM(B55:B58),"")</f>
        <v/>
      </c>
      <c r="C70" s="43" t="str">
        <f t="shared" si="21"/>
        <v/>
      </c>
      <c r="D70" s="43" t="str">
        <f t="shared" si="21"/>
        <v/>
      </c>
      <c r="E70" s="99" t="str">
        <f t="shared" si="21"/>
        <v/>
      </c>
      <c r="F70" s="43" t="str">
        <f t="shared" si="21"/>
        <v/>
      </c>
      <c r="G70" s="43" t="str">
        <f t="shared" si="21"/>
        <v/>
      </c>
      <c r="H70" s="99" t="str">
        <f t="shared" si="21"/>
        <v/>
      </c>
      <c r="I70" s="43" t="str">
        <f t="shared" si="21"/>
        <v/>
      </c>
      <c r="J70" s="43" t="str">
        <f t="shared" si="21"/>
        <v/>
      </c>
      <c r="K70" s="99" t="str">
        <f t="shared" si="21"/>
        <v/>
      </c>
      <c r="L70" s="43" t="str">
        <f t="shared" si="21"/>
        <v/>
      </c>
      <c r="M70" s="43" t="str">
        <f t="shared" si="21"/>
        <v/>
      </c>
      <c r="N70" s="97" t="str">
        <f t="shared" si="12"/>
        <v/>
      </c>
      <c r="O70" s="84"/>
      <c r="P70" s="84"/>
      <c r="Q70" s="98" t="str">
        <f t="shared" si="13"/>
        <v/>
      </c>
    </row>
    <row r="71" spans="1:20" s="83" customFormat="1">
      <c r="A71" s="94" t="str">
        <f t="shared" si="14"/>
        <v/>
      </c>
      <c r="B71" s="99" t="str">
        <f>IF($A$71="","",IF(B59&lt;&gt;"",SUM(B56:B59),""))</f>
        <v/>
      </c>
      <c r="C71" s="43" t="str">
        <f>IF($A$71="","",IF(C59&lt;&gt;"",SUM(C56:C59),""))</f>
        <v/>
      </c>
      <c r="D71" s="43" t="str">
        <f t="shared" ref="D71:M71" si="22">IF($A$71="","",IF(D59&lt;&gt;"",SUM(D56:D59),""))</f>
        <v/>
      </c>
      <c r="E71" s="99" t="str">
        <f t="shared" si="22"/>
        <v/>
      </c>
      <c r="F71" s="43" t="str">
        <f t="shared" si="22"/>
        <v/>
      </c>
      <c r="G71" s="43" t="str">
        <f t="shared" si="22"/>
        <v/>
      </c>
      <c r="H71" s="99" t="str">
        <f t="shared" si="22"/>
        <v/>
      </c>
      <c r="I71" s="43" t="str">
        <f t="shared" si="22"/>
        <v/>
      </c>
      <c r="J71" s="43" t="str">
        <f t="shared" si="22"/>
        <v/>
      </c>
      <c r="K71" s="99" t="str">
        <f t="shared" si="22"/>
        <v/>
      </c>
      <c r="L71" s="43" t="str">
        <f t="shared" si="22"/>
        <v/>
      </c>
      <c r="M71" s="43" t="str">
        <f t="shared" si="22"/>
        <v/>
      </c>
      <c r="N71" s="97" t="str">
        <f t="shared" si="12"/>
        <v/>
      </c>
      <c r="O71" s="84"/>
      <c r="P71" s="84"/>
      <c r="Q71" s="98" t="str">
        <f t="shared" si="13"/>
        <v/>
      </c>
    </row>
    <row r="72" spans="1:20" s="83" customFormat="1" ht="16.5" thickBot="1">
      <c r="A72" s="112"/>
      <c r="B72" s="108"/>
      <c r="C72" s="109"/>
      <c r="D72" s="109"/>
      <c r="E72" s="108"/>
      <c r="F72" s="109"/>
      <c r="G72" s="109"/>
      <c r="H72" s="108"/>
      <c r="I72" s="109"/>
      <c r="J72" s="109"/>
      <c r="K72" s="108"/>
      <c r="L72" s="109"/>
      <c r="M72" s="109"/>
      <c r="N72" s="110"/>
      <c r="O72" s="82"/>
      <c r="P72" s="82"/>
    </row>
    <row r="73" spans="1:20" ht="15" customHeight="1" thickTop="1">
      <c r="A73" s="113"/>
      <c r="B73" s="114"/>
      <c r="C73" s="35"/>
      <c r="E73" s="42"/>
      <c r="F73" s="113"/>
      <c r="G73" s="35"/>
      <c r="H73" s="35"/>
      <c r="J73" s="35"/>
      <c r="L73" s="35"/>
      <c r="M73" s="35"/>
      <c r="N73" s="35"/>
      <c r="O73" s="35"/>
      <c r="P73" s="35"/>
    </row>
    <row r="74" spans="1:20" ht="15" customHeight="1">
      <c r="A74" s="113"/>
      <c r="B74" s="114"/>
      <c r="C74" s="35"/>
      <c r="E74" s="42"/>
      <c r="F74" s="113"/>
      <c r="G74" s="35"/>
      <c r="H74" s="35"/>
      <c r="J74" s="35"/>
      <c r="L74" s="35"/>
      <c r="M74" s="35"/>
      <c r="N74" s="35"/>
      <c r="O74" s="35"/>
      <c r="P74" s="35"/>
    </row>
    <row r="75" spans="1:20" ht="15" hidden="1" customHeight="1">
      <c r="A75" s="5" t="s">
        <v>48</v>
      </c>
      <c r="E75" s="114"/>
    </row>
    <row r="76" spans="1:20" ht="15" hidden="1" customHeight="1">
      <c r="A76" s="5" t="s">
        <v>49</v>
      </c>
      <c r="C76" s="56">
        <f>IF(F33="",0,INDEX($B$63:$M$71,$R$64,5))+IF(H33="",0,INDEX($B$63:$M$71,$R$64,7))+IF(M33="",0,INDEX($B$63:$M$71,$R$64,12))</f>
        <v>3</v>
      </c>
      <c r="I76" s="56">
        <f>IF(D33="",0,INDEX($B$63:$M$71,$R$64,3))+IF(E33="",0,INDEX($B$63:$M$71,$R$64,4))+IF(L33="",0,INDEX($B$63:$M$71,$R$64,11))</f>
        <v>1</v>
      </c>
      <c r="M76" s="56" t="s">
        <v>12</v>
      </c>
    </row>
    <row r="77" spans="1:20" ht="15" hidden="1" customHeight="1">
      <c r="A77" s="5" t="s">
        <v>50</v>
      </c>
      <c r="C77" s="56">
        <f>IF(B33="",0,INDEX($B$63:$M$71,$R$64,1))+IF(C33="",0,INDEX($B$63:$M$71,$R$64,2))+IF(D33="",0,INDEX($B$63:$M$71,$R$64,3))</f>
        <v>2</v>
      </c>
      <c r="F77" s="56">
        <f>IF(E33="",0,INDEX($B$63:$M$71,$R$64,4))+IF(F33="",0,INDEX($B$63:$M$71,$R$64,5))+IF(G33="",0,INDEX($B$63:$M$71,$R$64,6))</f>
        <v>3</v>
      </c>
      <c r="I77" s="56">
        <f>IF(H33="",0,INDEX($B$63:$M$71,$R$64,7))+IF(I33="",0,INDEX($B$63:$M$71,$R$64,8))+IF(J33="",0,INDEX($B$63:$M$71,$R$64,9))</f>
        <v>2</v>
      </c>
      <c r="L77" s="56">
        <f>IF(K33="",0,INDEX($B$63:$M$71,$R$64,10))+IF(L33="",0,INDEX($B$63:$M$71,$R$64,11))+IF(M33="",0,INDEX($B$63:$M$71,$R$64,12))</f>
        <v>1</v>
      </c>
      <c r="M77" s="15"/>
      <c r="R77" s="42"/>
      <c r="S77" s="115"/>
    </row>
    <row r="78" spans="1:20" ht="15" hidden="1" customHeight="1">
      <c r="A78" s="5" t="s">
        <v>49</v>
      </c>
      <c r="F78" s="56">
        <f>IF(C33="",0,INDEX($B$63:$M$71,$R$64,2))+IF(J33="",0,INDEX($B$63:$M$71,$R$64,9))+IF(K33="",0,INDEX($B$63:$M$71,$R$64,10))</f>
        <v>2</v>
      </c>
      <c r="L78" s="56">
        <f>IF(B33="",0,INDEX($B$63:$M$71,$R$64,1))+IF(G33="",0,INDEX($B$63:$M$71,$R$64,6))+IF(I33="",0,INDEX($B$63:$M$71,$R$64,8))</f>
        <v>2</v>
      </c>
    </row>
    <row r="79" spans="1:20" ht="15" customHeight="1">
      <c r="C79" s="56"/>
      <c r="F79" s="56"/>
      <c r="I79" s="56"/>
      <c r="L79" s="56"/>
    </row>
    <row r="80" spans="1:20" ht="15" customHeight="1">
      <c r="C80" s="116"/>
      <c r="T80" s="115"/>
    </row>
    <row r="81" spans="1:20" ht="15" customHeight="1"/>
    <row r="83" spans="1:20" s="115" customFormat="1" ht="18">
      <c r="A83" s="5"/>
      <c r="B83" s="5"/>
      <c r="C83" s="56"/>
      <c r="D83" s="5"/>
      <c r="E83" s="5"/>
      <c r="F83" s="56"/>
      <c r="G83" s="5"/>
      <c r="H83" s="5"/>
      <c r="I83" s="117"/>
      <c r="J83" s="5"/>
      <c r="K83" s="5"/>
      <c r="L83" s="56"/>
      <c r="M83" s="5"/>
      <c r="N83" s="5"/>
      <c r="O83" s="5"/>
      <c r="P83" s="5"/>
      <c r="Q83" s="5"/>
      <c r="R83" s="5"/>
      <c r="S83" s="5"/>
      <c r="T83" s="5"/>
    </row>
    <row r="84" spans="1:20">
      <c r="C84" s="56"/>
      <c r="F84" s="56"/>
      <c r="I84" s="56"/>
      <c r="L84" s="56"/>
    </row>
    <row r="85" spans="1:20">
      <c r="C85" s="56"/>
      <c r="F85" s="56"/>
      <c r="I85" s="56"/>
      <c r="L85" s="56"/>
    </row>
    <row r="87" spans="1:20">
      <c r="S87" s="42"/>
    </row>
    <row r="89" spans="1:20">
      <c r="L89" s="56"/>
    </row>
    <row r="90" spans="1:20">
      <c r="T90" s="42"/>
    </row>
    <row r="93" spans="1:20" s="42" customFormat="1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</row>
    <row r="98" spans="20:40" ht="25.15" customHeight="1"/>
    <row r="99" spans="20:40">
      <c r="V99" s="56"/>
      <c r="W99" s="56"/>
      <c r="X99" s="56"/>
      <c r="Y99" s="56"/>
      <c r="Z99" s="56"/>
      <c r="AA99" s="56"/>
      <c r="AB99" s="56"/>
      <c r="AC99" s="56"/>
      <c r="AD99" s="56"/>
      <c r="AE99" s="56"/>
    </row>
    <row r="100" spans="20:40" ht="31.15" customHeight="1">
      <c r="V100" s="52"/>
      <c r="W100" s="56"/>
      <c r="X100" s="56"/>
      <c r="Y100" s="15"/>
      <c r="Z100" s="15"/>
      <c r="AA100" s="15"/>
      <c r="AB100" s="56"/>
      <c r="AC100" s="56"/>
      <c r="AD100" s="56"/>
      <c r="AE100" s="56"/>
      <c r="AI100" s="15"/>
      <c r="AJ100" s="15"/>
      <c r="AK100" s="15"/>
    </row>
    <row r="101" spans="20:40" ht="25.15" customHeight="1"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</row>
    <row r="102" spans="20:40"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</row>
    <row r="103" spans="20:40"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</row>
    <row r="104" spans="20:40"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</row>
    <row r="105" spans="20:40"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</row>
    <row r="106" spans="20:40"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</row>
    <row r="107" spans="20:40"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</row>
    <row r="108" spans="20:40">
      <c r="T108" s="15"/>
      <c r="V108" s="56"/>
      <c r="W108" s="56"/>
      <c r="X108" s="56"/>
      <c r="Y108" s="56"/>
      <c r="Z108" s="56"/>
      <c r="AA108" s="56"/>
      <c r="AB108" s="56"/>
      <c r="AC108" s="56"/>
      <c r="AD108" s="56"/>
      <c r="AE108" s="15"/>
      <c r="AF108" s="15"/>
      <c r="AN108" s="15"/>
    </row>
    <row r="109" spans="20:40">
      <c r="T109" s="15"/>
      <c r="V109" s="56"/>
      <c r="W109" s="56"/>
      <c r="X109" s="56"/>
      <c r="Y109" s="56"/>
      <c r="Z109" s="56"/>
      <c r="AA109" s="56"/>
      <c r="AB109" s="56"/>
      <c r="AC109" s="56"/>
      <c r="AD109" s="56"/>
      <c r="AE109" s="15"/>
      <c r="AF109" s="15"/>
      <c r="AN109" s="15"/>
    </row>
    <row r="110" spans="20:40">
      <c r="T110" s="15"/>
      <c r="V110" s="56"/>
      <c r="W110" s="56"/>
      <c r="X110" s="56"/>
      <c r="Y110" s="56"/>
      <c r="Z110" s="56"/>
      <c r="AA110" s="56"/>
      <c r="AB110" s="56"/>
      <c r="AC110" s="56"/>
      <c r="AD110" s="56"/>
      <c r="AE110" s="15"/>
      <c r="AF110" s="15"/>
      <c r="AN110" s="15"/>
    </row>
    <row r="111" spans="20:40"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</row>
    <row r="112" spans="20:40"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</row>
    <row r="113" spans="22:44"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</row>
    <row r="114" spans="22:44"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</row>
    <row r="115" spans="22:44"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</row>
    <row r="116" spans="22:44"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</row>
    <row r="117" spans="22:44"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</row>
    <row r="118" spans="22:44" ht="31.15" customHeight="1">
      <c r="V118" s="56"/>
      <c r="W118" s="56"/>
      <c r="X118" s="56"/>
      <c r="Y118" s="15"/>
      <c r="Z118" s="15"/>
      <c r="AA118" s="15"/>
      <c r="AB118" s="56"/>
      <c r="AC118" s="56"/>
      <c r="AD118" s="56"/>
      <c r="AE118" s="56"/>
      <c r="AI118" s="15"/>
      <c r="AJ118" s="15"/>
      <c r="AK118" s="15"/>
    </row>
    <row r="119" spans="22:44" ht="25.15" customHeight="1"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</row>
    <row r="120" spans="22:44" ht="25.15" customHeight="1"/>
    <row r="121" spans="22:44">
      <c r="AR121" s="118"/>
    </row>
    <row r="122" spans="22:44">
      <c r="AR122" s="83"/>
    </row>
    <row r="123" spans="22:44">
      <c r="AR123" s="83"/>
    </row>
    <row r="124" spans="22:44">
      <c r="AR124" s="8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vehicles</vt:lpstr>
      <vt:lpstr>peds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Matt</cp:lastModifiedBy>
  <dcterms:created xsi:type="dcterms:W3CDTF">2010-12-11T03:40:56Z</dcterms:created>
  <dcterms:modified xsi:type="dcterms:W3CDTF">2011-04-03T22:11:43Z</dcterms:modified>
</cp:coreProperties>
</file>