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8" i="2" l="1"/>
  <c r="I77" i="2"/>
  <c r="M63" i="2"/>
  <c r="K63" i="2"/>
  <c r="J63" i="2"/>
  <c r="I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J50" i="2"/>
  <c r="I50" i="2"/>
  <c r="H50" i="2"/>
  <c r="T50" i="2" s="1"/>
  <c r="G50" i="2"/>
  <c r="F50" i="2"/>
  <c r="E50" i="2"/>
  <c r="D50" i="2"/>
  <c r="C50" i="2"/>
  <c r="B50" i="2"/>
  <c r="M49" i="2"/>
  <c r="L49" i="2"/>
  <c r="K49" i="2"/>
  <c r="J49" i="2"/>
  <c r="I49" i="2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K23" i="2"/>
  <c r="F22" i="2"/>
  <c r="B12" i="2"/>
  <c r="K11" i="2"/>
  <c r="D9" i="2"/>
  <c r="L78" i="1"/>
  <c r="K11" i="1" s="1"/>
  <c r="I77" i="1"/>
  <c r="J63" i="1"/>
  <c r="I63" i="1"/>
  <c r="H63" i="1"/>
  <c r="G63" i="1"/>
  <c r="B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S53" i="1" s="1"/>
  <c r="D53" i="1"/>
  <c r="C53" i="1"/>
  <c r="B53" i="1"/>
  <c r="R53" i="1" s="1"/>
  <c r="M52" i="1"/>
  <c r="L52" i="1"/>
  <c r="K52" i="1"/>
  <c r="J52" i="1"/>
  <c r="I52" i="1"/>
  <c r="H52" i="1"/>
  <c r="T52" i="1" s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H48" i="1"/>
  <c r="T48" i="1" s="1"/>
  <c r="G48" i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K23" i="1"/>
  <c r="F22" i="1"/>
  <c r="B12" i="1"/>
  <c r="D9" i="1"/>
  <c r="U56" i="1" l="1"/>
  <c r="U54" i="1"/>
  <c r="U52" i="1"/>
  <c r="U51" i="1"/>
  <c r="U50" i="1"/>
  <c r="U48" i="1"/>
  <c r="U49" i="1"/>
  <c r="K63" i="1"/>
  <c r="S56" i="1"/>
  <c r="S51" i="1"/>
  <c r="S50" i="1"/>
  <c r="S48" i="1"/>
  <c r="S49" i="1"/>
  <c r="V54" i="1"/>
  <c r="V53" i="1"/>
  <c r="E63" i="1"/>
  <c r="R52" i="1"/>
  <c r="V52" i="1" s="1"/>
  <c r="R51" i="1"/>
  <c r="V51" i="1" s="1"/>
  <c r="R50" i="1"/>
  <c r="V50" i="1" s="1"/>
  <c r="R48" i="1"/>
  <c r="V48" i="1" s="1"/>
  <c r="R49" i="1"/>
  <c r="V49" i="1" s="1"/>
  <c r="U56" i="2"/>
  <c r="U52" i="2"/>
  <c r="U51" i="2"/>
  <c r="U50" i="2"/>
  <c r="U48" i="2"/>
  <c r="U49" i="2"/>
  <c r="S56" i="2"/>
  <c r="S52" i="2"/>
  <c r="S51" i="2"/>
  <c r="S50" i="2"/>
  <c r="S48" i="2"/>
  <c r="S49" i="2"/>
  <c r="V49" i="2" s="1"/>
  <c r="R52" i="2"/>
  <c r="R51" i="2"/>
  <c r="R50" i="2"/>
  <c r="R48" i="2"/>
  <c r="R49" i="2"/>
  <c r="A49" i="2"/>
  <c r="Q49" i="2" s="1"/>
  <c r="N63" i="2"/>
  <c r="V51" i="2"/>
  <c r="V52" i="2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70" i="1" l="1"/>
  <c r="N68" i="1"/>
  <c r="N63" i="1"/>
  <c r="V55" i="1"/>
  <c r="V50" i="2"/>
  <c r="V48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C76" i="1" l="1"/>
  <c r="H15" i="1" s="1"/>
  <c r="L77" i="1"/>
  <c r="J11" i="1" s="1"/>
  <c r="I76" i="1"/>
  <c r="J23" i="1" s="1"/>
  <c r="F77" i="1"/>
  <c r="M15" i="1" s="1"/>
  <c r="F78" i="1"/>
  <c r="M19" i="1" s="1"/>
  <c r="C77" i="1"/>
  <c r="H19" i="1" s="1"/>
  <c r="L77" i="2"/>
  <c r="J11" i="2" s="1"/>
  <c r="I76" i="2"/>
  <c r="J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<sst xmlns="http://schemas.openxmlformats.org/spreadsheetml/2006/main" count="208" uniqueCount="56">
  <si>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</si>
  <si>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</si>
  <si>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</si>
  <si>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</si>
  <si>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</si>
  <si>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</si>
  <si>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</si>
  <si>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</si>
  <si>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</si>
  <si>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</si>
  <si>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</si>
  <si>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</si>
  <si>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</si>
  <si>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</si>
  <si>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</si>
  <si>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</si>
  <si>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</si>
  <si>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</si>
  <si>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</si>
  <si>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</si>
  <si>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</si>
  <si>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</si>
  <si>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</si>
  <si>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</si>
  <si>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</si>
  <si>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</si>
  <si>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</si>
  <si>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</si>
  <si>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</si>
  <si>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</si>
  <si>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</si>
  <si>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</si>
  <si>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</si>
  <si>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</si>
  <si>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</si>
  <si>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</si>
  <si>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</si>
  <si>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</si>
  <si>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</si>
  <si>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</si>
  <si>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</si>
  <si>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</si>
  <si>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</si>
  <si>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</si>
  <si>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</si>
  <si>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</si>
  <si>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</si>
  <si>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</si>
  <si>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</si>
  <si>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</si>
  <si>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</si>
  <si>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Wed 3-2-11</t>
  </si>
  <si>
    <t>N. McCarran</t>
  </si>
  <si>
    <t>N. McCarran - 395 SB</t>
  </si>
  <si>
    <t>N McCarran - 395 SB</t>
  </si>
  <si>
    <t>N McCarran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</si>
</sst>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G36" sqref="G36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0.78289473684210531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15</v>
      </c>
      <c r="D11" s="50">
        <f>IF(L29="N/A","N/A",IF(I29="N/A","N/A",INDEX($B$63:$M$71,$R$64,11)))</f>
        <v>28</v>
      </c>
      <c r="E11" s="51">
        <f>IF(L29="N/A","N/A",IF(F29="N/A","N/A",INDEX($B$63:$M$71,$R$64,10)))</f>
        <v>195</v>
      </c>
      <c r="F11" s="37"/>
      <c r="G11" s="37"/>
      <c r="H11" s="37"/>
      <c r="I11" s="15"/>
      <c r="J11" s="52">
        <f>IF(L29="N/A","N/A",L77)</f>
        <v>238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0.75622406639004147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679</v>
      </c>
      <c r="I15" s="37"/>
      <c r="J15" s="37"/>
      <c r="K15" s="37"/>
      <c r="L15" s="15"/>
      <c r="M15" s="58">
        <f>IF(F29="N/A","N/A",F77)</f>
        <v>1431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275</v>
      </c>
      <c r="C17" s="37"/>
      <c r="D17" s="37"/>
      <c r="E17" s="37"/>
      <c r="F17" s="61">
        <f>IF(F29="N/A","N/A",IF(C29="N/A","N/A",INDEX($B$63:$M$71,$R$64,5)))</f>
        <v>664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2398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454</v>
      </c>
      <c r="C19" s="37"/>
      <c r="D19" s="37"/>
      <c r="E19" s="37"/>
      <c r="F19" s="56">
        <f>IF(F29="N/A","N/A",IF(I29="N/A","N/A",INDEX($B$63:$M$71,$R$64,4)))</f>
        <v>767</v>
      </c>
      <c r="G19" s="37"/>
      <c r="H19" s="57">
        <f>IF(C29="N/A","N/A",C77)</f>
        <v>729</v>
      </c>
      <c r="I19" s="37"/>
      <c r="J19" s="37"/>
      <c r="K19" s="37"/>
      <c r="L19" s="15"/>
      <c r="M19" s="58">
        <f>IF(F29="N/A","N/A",F78)</f>
        <v>470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N.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0.87899262899262898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1249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0.83379694019471484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55</v>
      </c>
      <c r="D29" s="73"/>
      <c r="E29" s="71"/>
      <c r="F29" s="72" t="s">
        <v>52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39</v>
      </c>
      <c r="D33" s="120">
        <v>67</v>
      </c>
      <c r="E33" s="120">
        <v>215</v>
      </c>
      <c r="F33" s="120">
        <v>105</v>
      </c>
      <c r="G33" s="120"/>
      <c r="H33" s="120"/>
      <c r="I33" s="120"/>
      <c r="J33" s="120"/>
      <c r="K33" s="120">
        <v>32</v>
      </c>
      <c r="L33" s="120">
        <v>2</v>
      </c>
      <c r="M33" s="120">
        <v>0</v>
      </c>
      <c r="N33" s="121">
        <f t="shared" ref="N33:N40" si="0">IF(SUM(B33:M33)&lt;=0,"",SUM(B33:M33))</f>
        <v>460</v>
      </c>
      <c r="O33" s="84"/>
      <c r="P33" s="84"/>
      <c r="Q33" s="98"/>
    </row>
    <row r="34" spans="1:28" s="83" customFormat="1">
      <c r="A34" s="94">
        <v>0.3125</v>
      </c>
      <c r="B34" s="95"/>
      <c r="C34" s="96">
        <v>88</v>
      </c>
      <c r="D34" s="96">
        <v>157</v>
      </c>
      <c r="E34" s="96">
        <v>419</v>
      </c>
      <c r="F34" s="96">
        <v>252</v>
      </c>
      <c r="G34" s="96"/>
      <c r="H34" s="96"/>
      <c r="I34" s="96"/>
      <c r="J34" s="96"/>
      <c r="K34" s="96">
        <v>80</v>
      </c>
      <c r="L34" s="96">
        <v>7</v>
      </c>
      <c r="M34" s="96">
        <v>1</v>
      </c>
      <c r="N34" s="121">
        <f t="shared" si="0"/>
        <v>1004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144</v>
      </c>
      <c r="D35" s="96">
        <v>280</v>
      </c>
      <c r="E35" s="96">
        <v>622</v>
      </c>
      <c r="F35" s="96">
        <v>456</v>
      </c>
      <c r="G35" s="96"/>
      <c r="H35" s="96"/>
      <c r="I35" s="96"/>
      <c r="J35" s="96"/>
      <c r="K35" s="96">
        <v>123</v>
      </c>
      <c r="L35" s="96">
        <v>21</v>
      </c>
      <c r="M35" s="96">
        <v>5</v>
      </c>
      <c r="N35" s="121">
        <f t="shared" si="0"/>
        <v>1651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237</v>
      </c>
      <c r="D36" s="96">
        <v>428</v>
      </c>
      <c r="E36" s="96">
        <v>827</v>
      </c>
      <c r="F36" s="96">
        <v>653</v>
      </c>
      <c r="G36" s="96"/>
      <c r="H36" s="96"/>
      <c r="I36" s="96"/>
      <c r="J36" s="96"/>
      <c r="K36" s="96">
        <v>187</v>
      </c>
      <c r="L36" s="96">
        <v>30</v>
      </c>
      <c r="M36" s="96">
        <v>8</v>
      </c>
      <c r="N36" s="121">
        <f t="shared" si="0"/>
        <v>2370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314</v>
      </c>
      <c r="D37" s="96">
        <v>521</v>
      </c>
      <c r="E37" s="96">
        <v>982</v>
      </c>
      <c r="F37" s="96">
        <v>769</v>
      </c>
      <c r="G37" s="96"/>
      <c r="H37" s="96"/>
      <c r="I37" s="96"/>
      <c r="J37" s="96"/>
      <c r="K37" s="96">
        <v>227</v>
      </c>
      <c r="L37" s="96">
        <v>30</v>
      </c>
      <c r="M37" s="96">
        <v>15</v>
      </c>
      <c r="N37" s="121">
        <f t="shared" si="0"/>
        <v>2858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350</v>
      </c>
      <c r="D38" s="96">
        <v>557</v>
      </c>
      <c r="E38" s="96">
        <v>1128</v>
      </c>
      <c r="F38" s="96">
        <v>912</v>
      </c>
      <c r="G38" s="96"/>
      <c r="H38" s="96"/>
      <c r="I38" s="96"/>
      <c r="J38" s="96"/>
      <c r="K38" s="96">
        <v>252</v>
      </c>
      <c r="L38" s="96">
        <v>32</v>
      </c>
      <c r="M38" s="96">
        <v>15</v>
      </c>
      <c r="N38" s="121">
        <f t="shared" si="0"/>
        <v>3246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419</v>
      </c>
      <c r="D39" s="96">
        <v>613</v>
      </c>
      <c r="E39" s="96">
        <v>1316</v>
      </c>
      <c r="F39" s="96">
        <v>1096</v>
      </c>
      <c r="G39" s="96"/>
      <c r="H39" s="96"/>
      <c r="I39" s="96"/>
      <c r="J39" s="96"/>
      <c r="K39" s="96">
        <v>303</v>
      </c>
      <c r="L39" s="96">
        <v>33</v>
      </c>
      <c r="M39" s="96">
        <v>15</v>
      </c>
      <c r="N39" s="121">
        <f t="shared" si="0"/>
        <v>3795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498</v>
      </c>
      <c r="D40" s="125">
        <v>697</v>
      </c>
      <c r="E40" s="125">
        <v>1445</v>
      </c>
      <c r="F40" s="125">
        <v>1237</v>
      </c>
      <c r="G40" s="125"/>
      <c r="H40" s="125"/>
      <c r="I40" s="125"/>
      <c r="J40" s="125"/>
      <c r="K40" s="125">
        <v>356</v>
      </c>
      <c r="L40" s="125">
        <v>34</v>
      </c>
      <c r="M40" s="125">
        <v>16</v>
      </c>
      <c r="N40" s="121">
        <f t="shared" si="0"/>
        <v>4283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39</v>
      </c>
      <c r="D48" s="43">
        <f>IF(D33="","",D33)</f>
        <v>67</v>
      </c>
      <c r="E48" s="99">
        <f t="shared" ref="E48:M48" si="1">IF(E33="","",E33)</f>
        <v>215</v>
      </c>
      <c r="F48" s="43">
        <f t="shared" si="1"/>
        <v>105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32</v>
      </c>
      <c r="L48" s="43">
        <f t="shared" si="1"/>
        <v>2</v>
      </c>
      <c r="M48" s="43">
        <f t="shared" si="1"/>
        <v>0</v>
      </c>
      <c r="N48" s="97">
        <f t="shared" ref="N48:N58" si="2">IF(SUM(B48:M48)&lt;=0,"",SUM(B48:M48))</f>
        <v>460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106</v>
      </c>
      <c r="S48" s="106">
        <f t="shared" ref="S48:S59" si="5">SUM(E48:G48)</f>
        <v>320</v>
      </c>
      <c r="T48" s="106">
        <f t="shared" ref="T48:T59" si="6">SUM(H48:J48)</f>
        <v>0</v>
      </c>
      <c r="U48" s="106">
        <f t="shared" ref="U48:U59" si="7">SUM(K48:M48)</f>
        <v>34</v>
      </c>
      <c r="V48" s="106">
        <f t="shared" ref="V48:V59" si="8">SUM(R48:U48)</f>
        <v>460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49</v>
      </c>
      <c r="D49" s="43">
        <f t="shared" si="10"/>
        <v>90</v>
      </c>
      <c r="E49" s="99">
        <f t="shared" si="10"/>
        <v>204</v>
      </c>
      <c r="F49" s="43">
        <f t="shared" si="10"/>
        <v>147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48</v>
      </c>
      <c r="L49" s="43">
        <f t="shared" si="10"/>
        <v>5</v>
      </c>
      <c r="M49" s="43">
        <f t="shared" si="10"/>
        <v>1</v>
      </c>
      <c r="N49" s="97">
        <f t="shared" si="2"/>
        <v>544</v>
      </c>
      <c r="O49" s="84"/>
      <c r="P49" s="84"/>
      <c r="Q49" s="98">
        <f t="shared" si="3"/>
        <v>0.3125</v>
      </c>
      <c r="R49" s="106">
        <f t="shared" si="4"/>
        <v>139</v>
      </c>
      <c r="S49" s="106">
        <f t="shared" si="5"/>
        <v>351</v>
      </c>
      <c r="T49" s="106">
        <f t="shared" si="6"/>
        <v>0</v>
      </c>
      <c r="U49" s="106">
        <f t="shared" si="7"/>
        <v>54</v>
      </c>
      <c r="V49" s="106">
        <f t="shared" si="8"/>
        <v>544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56</v>
      </c>
      <c r="D50" s="43">
        <f t="shared" si="10"/>
        <v>123</v>
      </c>
      <c r="E50" s="99">
        <f t="shared" si="10"/>
        <v>203</v>
      </c>
      <c r="F50" s="43">
        <f t="shared" si="10"/>
        <v>204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43</v>
      </c>
      <c r="L50" s="43">
        <f t="shared" si="10"/>
        <v>14</v>
      </c>
      <c r="M50" s="43">
        <f t="shared" si="10"/>
        <v>4</v>
      </c>
      <c r="N50" s="97">
        <f t="shared" si="2"/>
        <v>647</v>
      </c>
      <c r="O50" s="84"/>
      <c r="P50" s="84"/>
      <c r="Q50" s="98">
        <f t="shared" si="3"/>
        <v>0.32291666666666669</v>
      </c>
      <c r="R50" s="106">
        <f t="shared" si="4"/>
        <v>179</v>
      </c>
      <c r="S50" s="106">
        <f t="shared" si="5"/>
        <v>407</v>
      </c>
      <c r="T50" s="106">
        <f t="shared" si="6"/>
        <v>0</v>
      </c>
      <c r="U50" s="106">
        <f t="shared" si="7"/>
        <v>61</v>
      </c>
      <c r="V50" s="106">
        <f t="shared" si="8"/>
        <v>647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93</v>
      </c>
      <c r="D51" s="43">
        <f t="shared" si="10"/>
        <v>148</v>
      </c>
      <c r="E51" s="99">
        <f t="shared" si="10"/>
        <v>205</v>
      </c>
      <c r="F51" s="43">
        <f t="shared" si="10"/>
        <v>197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64</v>
      </c>
      <c r="L51" s="43">
        <f t="shared" si="10"/>
        <v>9</v>
      </c>
      <c r="M51" s="43">
        <f t="shared" si="10"/>
        <v>3</v>
      </c>
      <c r="N51" s="97">
        <f t="shared" si="2"/>
        <v>719</v>
      </c>
      <c r="O51" s="84"/>
      <c r="P51" s="84"/>
      <c r="Q51" s="98">
        <f t="shared" si="3"/>
        <v>0.33333333333333337</v>
      </c>
      <c r="R51" s="106">
        <f t="shared" si="4"/>
        <v>241</v>
      </c>
      <c r="S51" s="106">
        <f t="shared" si="5"/>
        <v>402</v>
      </c>
      <c r="T51" s="106">
        <f t="shared" si="6"/>
        <v>0</v>
      </c>
      <c r="U51" s="106">
        <f t="shared" si="7"/>
        <v>76</v>
      </c>
      <c r="V51" s="106">
        <f t="shared" si="8"/>
        <v>719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77</v>
      </c>
      <c r="D52" s="43">
        <f t="shared" si="10"/>
        <v>93</v>
      </c>
      <c r="E52" s="99">
        <f t="shared" si="10"/>
        <v>155</v>
      </c>
      <c r="F52" s="43">
        <f t="shared" si="10"/>
        <v>116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40</v>
      </c>
      <c r="L52" s="43">
        <f t="shared" si="10"/>
        <v>0</v>
      </c>
      <c r="M52" s="43">
        <f t="shared" si="10"/>
        <v>7</v>
      </c>
      <c r="N52" s="97">
        <f t="shared" si="2"/>
        <v>488</v>
      </c>
      <c r="O52" s="84"/>
      <c r="P52" s="84"/>
      <c r="Q52" s="98">
        <f t="shared" si="3"/>
        <v>0.34375000000000006</v>
      </c>
      <c r="R52" s="106">
        <f t="shared" si="4"/>
        <v>170</v>
      </c>
      <c r="S52" s="106">
        <f t="shared" si="5"/>
        <v>271</v>
      </c>
      <c r="T52" s="106">
        <f t="shared" si="6"/>
        <v>0</v>
      </c>
      <c r="U52" s="106">
        <f t="shared" si="7"/>
        <v>47</v>
      </c>
      <c r="V52" s="106">
        <f t="shared" si="8"/>
        <v>488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36</v>
      </c>
      <c r="D53" s="43">
        <f t="shared" si="10"/>
        <v>36</v>
      </c>
      <c r="E53" s="99">
        <f t="shared" si="10"/>
        <v>146</v>
      </c>
      <c r="F53" s="43">
        <f t="shared" si="10"/>
        <v>143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25</v>
      </c>
      <c r="L53" s="43">
        <f t="shared" si="10"/>
        <v>2</v>
      </c>
      <c r="M53" s="43">
        <f t="shared" si="10"/>
        <v>0</v>
      </c>
      <c r="N53" s="97">
        <f t="shared" si="2"/>
        <v>388</v>
      </c>
      <c r="O53" s="84"/>
      <c r="P53" s="84"/>
      <c r="Q53" s="98">
        <f t="shared" si="3"/>
        <v>0.35416666666666674</v>
      </c>
      <c r="R53" s="106">
        <f t="shared" si="4"/>
        <v>72</v>
      </c>
      <c r="S53" s="106">
        <f t="shared" si="5"/>
        <v>289</v>
      </c>
      <c r="T53" s="106">
        <f t="shared" si="6"/>
        <v>0</v>
      </c>
      <c r="U53" s="106">
        <f t="shared" si="7"/>
        <v>27</v>
      </c>
      <c r="V53" s="106">
        <f t="shared" si="8"/>
        <v>388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69</v>
      </c>
      <c r="D54" s="43">
        <f t="shared" si="10"/>
        <v>56</v>
      </c>
      <c r="E54" s="99">
        <f t="shared" si="10"/>
        <v>188</v>
      </c>
      <c r="F54" s="43">
        <f t="shared" si="10"/>
        <v>184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51</v>
      </c>
      <c r="L54" s="43">
        <f t="shared" si="10"/>
        <v>1</v>
      </c>
      <c r="M54" s="43">
        <f t="shared" si="10"/>
        <v>0</v>
      </c>
      <c r="N54" s="97">
        <f t="shared" si="2"/>
        <v>549</v>
      </c>
      <c r="O54" s="84"/>
      <c r="P54" s="84"/>
      <c r="Q54" s="98">
        <f t="shared" si="3"/>
        <v>0.36458333333333343</v>
      </c>
      <c r="R54" s="106">
        <f t="shared" si="4"/>
        <v>125</v>
      </c>
      <c r="S54" s="106">
        <f t="shared" si="5"/>
        <v>372</v>
      </c>
      <c r="T54" s="106">
        <f t="shared" si="6"/>
        <v>0</v>
      </c>
      <c r="U54" s="106">
        <f t="shared" si="7"/>
        <v>52</v>
      </c>
      <c r="V54" s="106">
        <f t="shared" si="8"/>
        <v>549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79</v>
      </c>
      <c r="D55" s="43">
        <f t="shared" si="10"/>
        <v>84</v>
      </c>
      <c r="E55" s="99">
        <f t="shared" si="10"/>
        <v>129</v>
      </c>
      <c r="F55" s="43">
        <f t="shared" si="10"/>
        <v>141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53</v>
      </c>
      <c r="L55" s="43">
        <f t="shared" si="10"/>
        <v>1</v>
      </c>
      <c r="M55" s="43">
        <f t="shared" si="10"/>
        <v>1</v>
      </c>
      <c r="N55" s="97">
        <f t="shared" si="2"/>
        <v>488</v>
      </c>
      <c r="O55" s="84"/>
      <c r="P55" s="84"/>
      <c r="Q55" s="98">
        <f t="shared" si="3"/>
        <v>0.37500000000000011</v>
      </c>
      <c r="R55" s="106">
        <f t="shared" si="4"/>
        <v>163</v>
      </c>
      <c r="S55" s="106">
        <f t="shared" si="5"/>
        <v>270</v>
      </c>
      <c r="T55" s="106">
        <f t="shared" si="6"/>
        <v>0</v>
      </c>
      <c r="U55" s="106">
        <f t="shared" si="7"/>
        <v>55</v>
      </c>
      <c r="V55" s="106">
        <f t="shared" si="8"/>
        <v>488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241</v>
      </c>
      <c r="S61" s="106">
        <f>MAX(INDEX(R48:V59,W48,2),INDEX(R48:V59,W49,2),INDEX(R48:V59,W50,2),INDEX(R48:V59,W51,2))</f>
        <v>407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76</v>
      </c>
      <c r="V61" s="106">
        <f>MAX(INDEX(V48:V59,W48,1),INDEX(V48:V59,W49,1),INDEX(V48:V59,W50,1),INDEX(V48:V59,W51,1))</f>
        <v>719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237</v>
      </c>
      <c r="D63" s="43">
        <f t="shared" si="11"/>
        <v>428</v>
      </c>
      <c r="E63" s="99">
        <f t="shared" si="11"/>
        <v>827</v>
      </c>
      <c r="F63" s="43">
        <f t="shared" si="11"/>
        <v>653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187</v>
      </c>
      <c r="L63" s="43">
        <f t="shared" si="11"/>
        <v>30</v>
      </c>
      <c r="M63" s="43">
        <f t="shared" si="11"/>
        <v>8</v>
      </c>
      <c r="N63" s="97">
        <f t="shared" ref="N63:N71" si="12">IF(SUM(B63:M63)&lt;=0,"",SUM(B63:M63))</f>
        <v>2370</v>
      </c>
      <c r="O63" s="84"/>
      <c r="P63" s="84"/>
      <c r="Q63" s="98">
        <f t="shared" ref="Q63:Q71" si="13">$A63</f>
        <v>0.29166666666666663</v>
      </c>
      <c r="R63" s="83">
        <f>MAX(N63:N71)</f>
        <v>2398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275</v>
      </c>
      <c r="D64" s="43">
        <f t="shared" ref="D64:M64" si="15">IF($A$64="","",IF(D52&lt;&gt;"",SUM(D49:D52),""))</f>
        <v>454</v>
      </c>
      <c r="E64" s="99">
        <f t="shared" si="15"/>
        <v>767</v>
      </c>
      <c r="F64" s="43">
        <f t="shared" si="15"/>
        <v>664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195</v>
      </c>
      <c r="L64" s="43">
        <f t="shared" si="15"/>
        <v>28</v>
      </c>
      <c r="M64" s="43">
        <f t="shared" si="15"/>
        <v>15</v>
      </c>
      <c r="N64" s="97">
        <f t="shared" si="12"/>
        <v>2398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262</v>
      </c>
      <c r="D65" s="43">
        <f t="shared" ref="D65:M65" si="16">IF($A$65="","",IF(D53&lt;&gt;"",SUM(D50:D53),""))</f>
        <v>400</v>
      </c>
      <c r="E65" s="99">
        <f t="shared" si="16"/>
        <v>709</v>
      </c>
      <c r="F65" s="43">
        <f t="shared" si="16"/>
        <v>660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172</v>
      </c>
      <c r="L65" s="43">
        <f t="shared" si="16"/>
        <v>25</v>
      </c>
      <c r="M65" s="43">
        <f t="shared" si="16"/>
        <v>14</v>
      </c>
      <c r="N65" s="97">
        <f t="shared" si="12"/>
        <v>2242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275</v>
      </c>
      <c r="D66" s="43">
        <f t="shared" ref="D66:M66" si="17">IF($A$64="","",IF(D54&lt;&gt;"",SUM(D51:D54),""))</f>
        <v>333</v>
      </c>
      <c r="E66" s="99">
        <f t="shared" si="17"/>
        <v>694</v>
      </c>
      <c r="F66" s="43">
        <f t="shared" si="17"/>
        <v>640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180</v>
      </c>
      <c r="L66" s="43">
        <f t="shared" si="17"/>
        <v>12</v>
      </c>
      <c r="M66" s="43">
        <f t="shared" si="17"/>
        <v>10</v>
      </c>
      <c r="N66" s="97">
        <f>IF(SUM(B66:M66)&lt;=0,"",SUM(B66:M66))</f>
        <v>2144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261</v>
      </c>
      <c r="D67" s="43">
        <f t="shared" ref="D67:M67" si="18">IF($A$65="","",IF(D55&lt;&gt;"",SUM(D52:D55),""))</f>
        <v>269</v>
      </c>
      <c r="E67" s="99">
        <f t="shared" si="18"/>
        <v>618</v>
      </c>
      <c r="F67" s="43">
        <f t="shared" si="18"/>
        <v>584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169</v>
      </c>
      <c r="L67" s="43">
        <f t="shared" si="18"/>
        <v>4</v>
      </c>
      <c r="M67" s="43">
        <f t="shared" si="18"/>
        <v>8</v>
      </c>
      <c r="N67" s="97">
        <f>IF(SUM(B67:M67)&lt;=0,"",SUM(B67:M67))</f>
        <v>1913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679</v>
      </c>
      <c r="I76" s="56">
        <f>IF(D33="",0,INDEX($B$63:$M$71,$R$64,3))+IF(E33="",0,INDEX($B$63:$M$71,$R$64,4))+IF(L33="",0,INDEX($B$63:$M$71,$R$64,11))</f>
        <v>1249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729</v>
      </c>
      <c r="F77" s="56">
        <f>IF(E33="",0,INDEX($B$63:$M$71,$R$64,4))+IF(F33="",0,INDEX($B$63:$M$71,$R$64,5))+IF(G33="",0,INDEX($B$63:$M$71,$R$64,6))</f>
        <v>1431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238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470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workbookViewId="0">
      <selection activeCell="J37" sqref="J37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 t="e">
        <f>S64</f>
        <v>#N/A</v>
      </c>
      <c r="D7" s="39"/>
      <c r="E7" s="40" t="s">
        <v>4</v>
      </c>
      <c r="F7" s="38" t="e">
        <f>C7+60/1440</f>
        <v>#N/A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 t="e">
        <f>F8-15/1440</f>
        <v>#N/A</v>
      </c>
      <c r="D8" s="39"/>
      <c r="E8" s="40" t="s">
        <v>4</v>
      </c>
      <c r="F8" s="38" t="e">
        <f>Q61</f>
        <v>#N/A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#N/A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e">
        <f>IF(L29="N/A","N/A",IF(C29="N/A","N/A",INDEX($B$63:$M$71,$R$64,12)))</f>
        <v>#N/A</v>
      </c>
      <c r="D11" s="50" t="e">
        <f>IF(L29="N/A","N/A",IF(I29="N/A","N/A",INDEX($B$63:$M$71,$R$64,11)))</f>
        <v>#N/A</v>
      </c>
      <c r="E11" s="51" t="e">
        <f>IF(L29="N/A","N/A",IF(F29="N/A","N/A",INDEX($B$63:$M$71,$R$64,10)))</f>
        <v>#N/A</v>
      </c>
      <c r="F11" s="37"/>
      <c r="G11" s="37"/>
      <c r="H11" s="37"/>
      <c r="I11" s="15"/>
      <c r="J11" s="52" t="e">
        <f>IF(L29="N/A","N/A",L77)</f>
        <v>#N/A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N. McCarran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#N/A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e">
        <f>IF(C29="N/A","N/A",IF(L29="N/A","N/A",INDEX($B$63:$M$71,$R$64,1)))</f>
        <v>#N/A</v>
      </c>
      <c r="C15" s="37"/>
      <c r="D15" s="37"/>
      <c r="E15" s="37"/>
      <c r="F15" s="56" t="e">
        <f>IF(F29="N/A","N/A",IF(L29="N/A","N/A",INDEX($B$63:$M$71,$R$64,6)))</f>
        <v>#N/A</v>
      </c>
      <c r="G15" s="37"/>
      <c r="H15" s="57" t="e">
        <f>IF(C29="N/A","N/A",C76)</f>
        <v>#N/A</v>
      </c>
      <c r="I15" s="37"/>
      <c r="J15" s="37"/>
      <c r="K15" s="37"/>
      <c r="L15" s="15"/>
      <c r="M15" s="58" t="e">
        <f>IF(F29="N/A","N/A",F77)</f>
        <v>#N/A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 t="e">
        <f>IF(C29="N/A","N/A",IF(F29="N/A","N/A",INDEX($B$63:$M$71,$R$64,2)))</f>
        <v>#N/A</v>
      </c>
      <c r="C17" s="37"/>
      <c r="D17" s="37"/>
      <c r="E17" s="37"/>
      <c r="F17" s="61" t="e">
        <f>IF(F29="N/A","N/A",IF(C29="N/A","N/A",INDEX($B$63:$M$71,$R$64,5)))</f>
        <v>#N/A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e">
        <f>IF(C29="N/A","N/A",IF(I29="N/A","N/A",INDEX($B$63:$M$71,$R$64,3)))</f>
        <v>#N/A</v>
      </c>
      <c r="C19" s="37"/>
      <c r="D19" s="37"/>
      <c r="E19" s="37"/>
      <c r="F19" s="56" t="e">
        <f>IF(F29="N/A","N/A",IF(I29="N/A","N/A",INDEX($B$63:$M$71,$R$64,4)))</f>
        <v>#N/A</v>
      </c>
      <c r="G19" s="37"/>
      <c r="H19" s="57" t="e">
        <f>IF(C29="N/A","N/A",C77)</f>
        <v>#N/A</v>
      </c>
      <c r="I19" s="37"/>
      <c r="J19" s="37"/>
      <c r="K19" s="37"/>
      <c r="L19" s="15"/>
      <c r="M19" s="58" t="e">
        <f>IF(F29="N/A","N/A",F78)</f>
        <v>#N/A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N. McCarran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#N/A</v>
      </c>
      <c r="N22" s="62"/>
      <c r="Q22" s="42"/>
      <c r="R22" s="42"/>
    </row>
    <row r="23" spans="1:28" ht="30" customHeight="1">
      <c r="A23" s="48"/>
      <c r="B23" s="37"/>
      <c r="C23" s="49" t="e">
        <f>IF(I29="N/A","N/A",IF(C29="N/A","N/A",INDEX($B$63:$M$71,$R$64,7)))</f>
        <v>#N/A</v>
      </c>
      <c r="D23" s="50" t="e">
        <f>IF(I29="N/A","N/A",IF(L29="N/A","N/A",INDEX($B$63:$M$71,$R$64,8)))</f>
        <v>#N/A</v>
      </c>
      <c r="E23" s="51" t="e">
        <f>IF(I29="N/A","N/A",IF(F29="N/A","N/A",INDEX($B$63:$M$71,$R$64,9)))</f>
        <v>#N/A</v>
      </c>
      <c r="F23" s="15"/>
      <c r="G23" s="65"/>
      <c r="H23" s="37"/>
      <c r="I23" s="37"/>
      <c r="J23" s="66" t="e">
        <f>IF(I29="N/A","N/A",I76)</f>
        <v>#N/A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#N/A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 t="e">
        <f>R63/(V61*4)</f>
        <v>#N/A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/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0.3125</v>
      </c>
      <c r="B34" s="95"/>
      <c r="C34" s="96">
        <v>0</v>
      </c>
      <c r="D34" s="96"/>
      <c r="E34" s="96"/>
      <c r="F34" s="96">
        <v>0</v>
      </c>
      <c r="G34" s="96"/>
      <c r="H34" s="96"/>
      <c r="I34" s="96"/>
      <c r="J34" s="96"/>
      <c r="K34" s="96"/>
      <c r="L34" s="96">
        <v>0</v>
      </c>
      <c r="M34" s="96"/>
      <c r="N34" s="121" t="str">
        <f t="shared" si="0"/>
        <v/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0</v>
      </c>
      <c r="D35" s="96"/>
      <c r="E35" s="96"/>
      <c r="F35" s="96">
        <v>0</v>
      </c>
      <c r="G35" s="96"/>
      <c r="H35" s="96"/>
      <c r="I35" s="96"/>
      <c r="J35" s="96"/>
      <c r="K35" s="96"/>
      <c r="L35" s="96">
        <v>0</v>
      </c>
      <c r="M35" s="96"/>
      <c r="N35" s="121" t="str">
        <f t="shared" si="0"/>
        <v/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0</v>
      </c>
      <c r="D36" s="96"/>
      <c r="E36" s="96"/>
      <c r="F36" s="96">
        <v>0</v>
      </c>
      <c r="G36" s="96"/>
      <c r="H36" s="96"/>
      <c r="I36" s="96"/>
      <c r="J36" s="96"/>
      <c r="K36" s="96"/>
      <c r="L36" s="96">
        <v>0</v>
      </c>
      <c r="M36" s="96"/>
      <c r="N36" s="121" t="str">
        <f t="shared" si="0"/>
        <v/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0</v>
      </c>
      <c r="D37" s="96"/>
      <c r="E37" s="96"/>
      <c r="F37" s="96">
        <v>0</v>
      </c>
      <c r="G37" s="96"/>
      <c r="H37" s="96"/>
      <c r="I37" s="96"/>
      <c r="J37" s="96"/>
      <c r="K37" s="96"/>
      <c r="L37" s="96">
        <v>0</v>
      </c>
      <c r="M37" s="96"/>
      <c r="N37" s="121" t="str">
        <f t="shared" si="0"/>
        <v/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0</v>
      </c>
      <c r="D38" s="96"/>
      <c r="E38" s="96"/>
      <c r="F38" s="96">
        <v>0</v>
      </c>
      <c r="G38" s="96"/>
      <c r="H38" s="96"/>
      <c r="I38" s="96"/>
      <c r="J38" s="96"/>
      <c r="K38" s="96"/>
      <c r="L38" s="96">
        <v>0</v>
      </c>
      <c r="M38" s="96"/>
      <c r="N38" s="121" t="str">
        <f t="shared" si="0"/>
        <v/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0</v>
      </c>
      <c r="D39" s="96"/>
      <c r="E39" s="96"/>
      <c r="F39" s="96">
        <v>0</v>
      </c>
      <c r="G39" s="96"/>
      <c r="H39" s="96"/>
      <c r="I39" s="96"/>
      <c r="J39" s="96"/>
      <c r="K39" s="96"/>
      <c r="L39" s="96">
        <v>0</v>
      </c>
      <c r="M39" s="96"/>
      <c r="N39" s="121" t="str">
        <f t="shared" si="0"/>
        <v/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0</v>
      </c>
      <c r="D40" s="125"/>
      <c r="E40" s="125"/>
      <c r="F40" s="125">
        <v>0</v>
      </c>
      <c r="G40" s="125"/>
      <c r="H40" s="125"/>
      <c r="I40" s="125"/>
      <c r="J40" s="125"/>
      <c r="K40" s="125"/>
      <c r="L40" s="125">
        <v>0</v>
      </c>
      <c r="M40" s="125"/>
      <c r="N40" s="121" t="str">
        <f t="shared" si="0"/>
        <v/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 t="e">
        <f>MATCH(S64,Q47:Q59,0)</f>
        <v>#N/A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 t="e">
        <f>W48+1</f>
        <v>#N/A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 t="e">
        <f>W49+1</f>
        <v>#N/A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 t="e">
        <f>W50+1</f>
        <v>#N/A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 t="str">
        <f t="shared" si="2"/>
        <v/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0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 t="e">
        <f>INDEX(Q48:Q58,W61,1)</f>
        <v>#N/A</v>
      </c>
      <c r="R61" s="106" t="e">
        <f>MAX(INDEX(R48:V59,W48,1),INDEX(R48:V59,W49,1),INDEX(R48:V59,W50,1),INDEX(R48:V59,W51,1))</f>
        <v>#N/A</v>
      </c>
      <c r="S61" s="106" t="e">
        <f>MAX(INDEX(R48:V59,W48,2),INDEX(R48:V59,W49,2),INDEX(R48:V59,W50,2),INDEX(R48:V59,W51,2))</f>
        <v>#N/A</v>
      </c>
      <c r="T61" s="106" t="e">
        <f>MAX(INDEX(R48:V59,W48,3),INDEX(R48:V59,W49,3),INDEX(R48:V59,W50,3),INDEX(R48:V59,W51,3))</f>
        <v>#N/A</v>
      </c>
      <c r="U61" s="106" t="e">
        <f>MAX(INDEX(R48:V59,W48,4),INDEX(R48:V59,W49,4),INDEX(R48:V59,W50,4),INDEX(R48:V59,W51,4))</f>
        <v>#N/A</v>
      </c>
      <c r="V61" s="106" t="e">
        <f>MAX(INDEX(V48:V59,W48,1),INDEX(V48:V59,W49,1),INDEX(V48:V59,W50,1),INDEX(V48:V59,W51,1))</f>
        <v>#N/A</v>
      </c>
      <c r="W61" s="83" t="e">
        <f>MATCH(V61,V48:V59,0)</f>
        <v>#N/A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 t="str">
        <f t="shared" ref="N63:N71" si="12">IF(SUM(B63:M63)&lt;=0,"",SUM(B63:M63))</f>
        <v/>
      </c>
      <c r="O63" s="84"/>
      <c r="P63" s="84"/>
      <c r="Q63" s="98">
        <f t="shared" ref="Q63:Q71" si="13">$A63</f>
        <v>0.29166666666666663</v>
      </c>
      <c r="R63" s="83">
        <f>MAX(N63:N71)</f>
        <v>0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 t="str">
        <f t="shared" si="12"/>
        <v/>
      </c>
      <c r="O64" s="84"/>
      <c r="P64" s="84"/>
      <c r="Q64" s="98">
        <f t="shared" si="13"/>
        <v>0.30208333333333331</v>
      </c>
      <c r="R64" s="83" t="e">
        <f>MATCH(R63,N63:N71,0)</f>
        <v>#N/A</v>
      </c>
      <c r="S64" s="98" t="e">
        <f>INDEX(Q63:Q71,R64,1)</f>
        <v>#N/A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 t="str">
        <f t="shared" si="12"/>
        <v/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 t="str">
        <f>IF(SUM(B66:M66)&lt;=0,"",SUM(B66:M66))</f>
        <v/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 t="str">
        <f>IF(SUM(B67:M67)&lt;=0,"",SUM(B67:M67))</f>
        <v/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 t="e">
        <f>IF(F33="",0,INDEX($B$63:$M$71,$R$64,5))+IF(H33="",0,INDEX($B$63:$M$71,$R$64,7))+IF(M33="",0,INDEX($B$63:$M$71,$R$64,12))</f>
        <v>#N/A</v>
      </c>
      <c r="I76" s="56" t="e">
        <f>IF(D33="",0,INDEX($B$63:$M$71,$R$64,3))+IF(E33="",0,INDEX($B$63:$M$71,$R$64,4))+IF(L33="",0,INDEX($B$63:$M$71,$R$64,11))</f>
        <v>#N/A</v>
      </c>
      <c r="M76" s="56" t="s">
        <v>12</v>
      </c>
    </row>
    <row r="77" spans="1:20" ht="15" hidden="1" customHeight="1">
      <c r="A77" s="5" t="s">
        <v>50</v>
      </c>
      <c r="C77" s="56" t="e">
        <f>IF(B33="",0,INDEX($B$63:$M$71,$R$64,1))+IF(C33="",0,INDEX($B$63:$M$71,$R$64,2))+IF(D33="",0,INDEX($B$63:$M$71,$R$64,3))</f>
        <v>#N/A</v>
      </c>
      <c r="F77" s="56" t="e">
        <f>IF(E33="",0,INDEX($B$63:$M$71,$R$64,4))+IF(F33="",0,INDEX($B$63:$M$71,$R$64,5))+IF(G33="",0,INDEX($B$63:$M$71,$R$64,6))</f>
        <v>#N/A</v>
      </c>
      <c r="I77" s="56">
        <f>IF(H33="",0,INDEX($B$63:$M$71,$R$64,7))+IF(I33="",0,INDEX($B$63:$M$71,$R$64,8))+IF(J33="",0,INDEX($B$63:$M$71,$R$64,9))</f>
        <v>0</v>
      </c>
      <c r="L77" s="56" t="e">
        <f>IF(K33="",0,INDEX($B$63:$M$71,$R$64,10))+IF(L33="",0,INDEX($B$63:$M$71,$R$64,11))+IF(M33="",0,INDEX($B$63:$M$71,$R$64,12))</f>
        <v>#N/A</v>
      </c>
      <c r="M77" s="15"/>
      <c r="R77" s="42"/>
      <c r="S77" s="115"/>
    </row>
    <row r="78" spans="1:20" ht="15" hidden="1" customHeight="1">
      <c r="A78" s="5" t="s">
        <v>49</v>
      </c>
      <c r="F78" s="56" t="e">
        <f>IF(C33="",0,INDEX($B$63:$M$71,$R$64,2))+IF(J33="",0,INDEX($B$63:$M$71,$R$64,9))+IF(K33="",0,INDEX($B$63:$M$71,$R$64,10))</f>
        <v>#N/A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2011-03-17T03:26:30Z</dcterms:modified>
</cp:coreProperties>
</file>