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5480" windowHeight="9720"/>
  </bookViews>
  <sheets>
    <sheet name="vehicles" sheetId="1" r:id="rId1"/>
    <sheet name="peds" sheetId="2" r:id="rId2"/>
  </sheets>
  <calcPr calcId="144525"/>
</workbook>
</file>

<file path=xl/calcChain.xml><?xml version="1.0" encoding="utf-8"?>
<calcChain xmlns="http://schemas.openxmlformats.org/spreadsheetml/2006/main">
  <c r="M63" i="2" l="1"/>
  <c r="K63" i="2"/>
  <c r="J63" i="2"/>
  <c r="H63" i="2"/>
  <c r="G63" i="2"/>
  <c r="E63" i="2"/>
  <c r="D63" i="2"/>
  <c r="B63" i="2"/>
  <c r="A63" i="2"/>
  <c r="M59" i="2"/>
  <c r="L59" i="2"/>
  <c r="K59" i="2"/>
  <c r="U59" i="2" s="1"/>
  <c r="J59" i="2"/>
  <c r="I59" i="2"/>
  <c r="H59" i="2"/>
  <c r="T59" i="2" s="1"/>
  <c r="G59" i="2"/>
  <c r="F59" i="2"/>
  <c r="E59" i="2"/>
  <c r="S59" i="2" s="1"/>
  <c r="D59" i="2"/>
  <c r="C59" i="2"/>
  <c r="B59" i="2"/>
  <c r="R59" i="2" s="1"/>
  <c r="V59" i="2" s="1"/>
  <c r="A59" i="2"/>
  <c r="Q59" i="2" s="1"/>
  <c r="M58" i="2"/>
  <c r="M70" i="2" s="1"/>
  <c r="L58" i="2"/>
  <c r="L70" i="2" s="1"/>
  <c r="K58" i="2"/>
  <c r="K70" i="2" s="1"/>
  <c r="J58" i="2"/>
  <c r="J70" i="2" s="1"/>
  <c r="I58" i="2"/>
  <c r="I70" i="2" s="1"/>
  <c r="H58" i="2"/>
  <c r="H70" i="2" s="1"/>
  <c r="G58" i="2"/>
  <c r="G70" i="2" s="1"/>
  <c r="F58" i="2"/>
  <c r="F70" i="2" s="1"/>
  <c r="E58" i="2"/>
  <c r="E70" i="2" s="1"/>
  <c r="D58" i="2"/>
  <c r="D70" i="2" s="1"/>
  <c r="C58" i="2"/>
  <c r="C70" i="2" s="1"/>
  <c r="B58" i="2"/>
  <c r="B70" i="2" s="1"/>
  <c r="A58" i="2"/>
  <c r="Q58" i="2" s="1"/>
  <c r="M57" i="2"/>
  <c r="L57" i="2"/>
  <c r="K57" i="2"/>
  <c r="U57" i="2" s="1"/>
  <c r="J57" i="2"/>
  <c r="I57" i="2"/>
  <c r="H57" i="2"/>
  <c r="T57" i="2" s="1"/>
  <c r="G57" i="2"/>
  <c r="F57" i="2"/>
  <c r="E57" i="2"/>
  <c r="S57" i="2" s="1"/>
  <c r="D57" i="2"/>
  <c r="C57" i="2"/>
  <c r="B57" i="2"/>
  <c r="R57" i="2" s="1"/>
  <c r="V57" i="2" s="1"/>
  <c r="A57" i="2"/>
  <c r="Q57" i="2" s="1"/>
  <c r="Q56" i="2"/>
  <c r="M56" i="2"/>
  <c r="M68" i="2" s="1"/>
  <c r="L56" i="2"/>
  <c r="L68" i="2" s="1"/>
  <c r="K56" i="2"/>
  <c r="K68" i="2" s="1"/>
  <c r="J56" i="2"/>
  <c r="J68" i="2" s="1"/>
  <c r="I56" i="2"/>
  <c r="I68" i="2" s="1"/>
  <c r="H56" i="2"/>
  <c r="H68" i="2" s="1"/>
  <c r="G56" i="2"/>
  <c r="G68" i="2" s="1"/>
  <c r="F56" i="2"/>
  <c r="F68" i="2" s="1"/>
  <c r="E56" i="2"/>
  <c r="D56" i="2"/>
  <c r="D68" i="2" s="1"/>
  <c r="B56" i="2"/>
  <c r="A56" i="2"/>
  <c r="M55" i="2"/>
  <c r="L55" i="2"/>
  <c r="K55" i="2"/>
  <c r="J55" i="2"/>
  <c r="I55" i="2"/>
  <c r="H55" i="2"/>
  <c r="G55" i="2"/>
  <c r="F55" i="2"/>
  <c r="E55" i="2"/>
  <c r="D55" i="2"/>
  <c r="C55" i="2"/>
  <c r="B55" i="2"/>
  <c r="M54" i="2"/>
  <c r="L54" i="2"/>
  <c r="K54" i="2"/>
  <c r="J54" i="2"/>
  <c r="I54" i="2"/>
  <c r="H54" i="2"/>
  <c r="G54" i="2"/>
  <c r="F54" i="2"/>
  <c r="E54" i="2"/>
  <c r="D54" i="2"/>
  <c r="C54" i="2"/>
  <c r="B54" i="2"/>
  <c r="M53" i="2"/>
  <c r="L53" i="2"/>
  <c r="K53" i="2"/>
  <c r="J53" i="2"/>
  <c r="I53" i="2"/>
  <c r="H53" i="2"/>
  <c r="G53" i="2"/>
  <c r="F53" i="2"/>
  <c r="E53" i="2"/>
  <c r="D53" i="2"/>
  <c r="C53" i="2"/>
  <c r="B53" i="2"/>
  <c r="M52" i="2"/>
  <c r="L52" i="2"/>
  <c r="K52" i="2"/>
  <c r="J52" i="2"/>
  <c r="I52" i="2"/>
  <c r="H52" i="2"/>
  <c r="G52" i="2"/>
  <c r="F52" i="2"/>
  <c r="E52" i="2"/>
  <c r="D52" i="2"/>
  <c r="C52" i="2"/>
  <c r="B52" i="2"/>
  <c r="M51" i="2"/>
  <c r="L51" i="2"/>
  <c r="K51" i="2"/>
  <c r="J51" i="2"/>
  <c r="I51" i="2"/>
  <c r="H51" i="2"/>
  <c r="G51" i="2"/>
  <c r="F51" i="2"/>
  <c r="E51" i="2"/>
  <c r="D51" i="2"/>
  <c r="C51" i="2"/>
  <c r="B51" i="2"/>
  <c r="M50" i="2"/>
  <c r="L50" i="2"/>
  <c r="K50" i="2"/>
  <c r="J50" i="2"/>
  <c r="I50" i="2"/>
  <c r="H50" i="2"/>
  <c r="G50" i="2"/>
  <c r="F50" i="2"/>
  <c r="E50" i="2"/>
  <c r="D50" i="2"/>
  <c r="C50" i="2"/>
  <c r="B50" i="2"/>
  <c r="M49" i="2"/>
  <c r="L49" i="2"/>
  <c r="K49" i="2"/>
  <c r="J49" i="2"/>
  <c r="I49" i="2"/>
  <c r="H49" i="2"/>
  <c r="G49" i="2"/>
  <c r="F49" i="2"/>
  <c r="E49" i="2"/>
  <c r="D49" i="2"/>
  <c r="C49" i="2"/>
  <c r="B49" i="2"/>
  <c r="M48" i="2"/>
  <c r="L48" i="2"/>
  <c r="L63" i="2" s="1"/>
  <c r="K48" i="2"/>
  <c r="J48" i="2"/>
  <c r="I48" i="2"/>
  <c r="I63" i="2" s="1"/>
  <c r="H48" i="2"/>
  <c r="T48" i="2" s="1"/>
  <c r="G48" i="2"/>
  <c r="F48" i="2"/>
  <c r="F63" i="2" s="1"/>
  <c r="E48" i="2"/>
  <c r="D48" i="2"/>
  <c r="C48" i="2"/>
  <c r="C63" i="2" s="1"/>
  <c r="B48" i="2"/>
  <c r="A48" i="2"/>
  <c r="Q48" i="2" s="1"/>
  <c r="Q47" i="2" s="1"/>
  <c r="N40" i="2"/>
  <c r="N39" i="2"/>
  <c r="N38" i="2"/>
  <c r="N37" i="2"/>
  <c r="N36" i="2"/>
  <c r="N35" i="2"/>
  <c r="N34" i="2"/>
  <c r="N33" i="2"/>
  <c r="D25" i="2"/>
  <c r="F22" i="2"/>
  <c r="B12" i="2"/>
  <c r="D9" i="2"/>
  <c r="U54" i="2" l="1"/>
  <c r="U53" i="2"/>
  <c r="U52" i="2"/>
  <c r="U51" i="2"/>
  <c r="U50" i="2"/>
  <c r="U48" i="2"/>
  <c r="U49" i="2"/>
  <c r="N55" i="2"/>
  <c r="T55" i="2"/>
  <c r="T54" i="2"/>
  <c r="T53" i="2"/>
  <c r="T52" i="2"/>
  <c r="T51" i="2"/>
  <c r="T49" i="2"/>
  <c r="T50" i="2"/>
  <c r="S54" i="2"/>
  <c r="S53" i="2"/>
  <c r="S52" i="2"/>
  <c r="S51" i="2"/>
  <c r="S50" i="2"/>
  <c r="S48" i="2"/>
  <c r="S49" i="2"/>
  <c r="R54" i="2"/>
  <c r="R53" i="2"/>
  <c r="R52" i="2"/>
  <c r="R51" i="2"/>
  <c r="R49" i="2"/>
  <c r="R50" i="2"/>
  <c r="N63" i="2"/>
  <c r="R48" i="2"/>
  <c r="N48" i="2"/>
  <c r="A49" i="2"/>
  <c r="N50" i="2"/>
  <c r="N52" i="2"/>
  <c r="N53" i="2"/>
  <c r="N54" i="2"/>
  <c r="S55" i="2"/>
  <c r="U55" i="2"/>
  <c r="R55" i="2"/>
  <c r="R56" i="2"/>
  <c r="N56" i="2"/>
  <c r="B68" i="2"/>
  <c r="E68" i="2"/>
  <c r="S56" i="2"/>
  <c r="N70" i="2"/>
  <c r="N49" i="2"/>
  <c r="N51" i="2"/>
  <c r="U56" i="2"/>
  <c r="S58" i="2"/>
  <c r="U58" i="2"/>
  <c r="T56" i="2"/>
  <c r="N57" i="2"/>
  <c r="N58" i="2"/>
  <c r="R58" i="2"/>
  <c r="T58" i="2"/>
  <c r="N59" i="2"/>
  <c r="Q63" i="2"/>
  <c r="A63" i="1"/>
  <c r="M59" i="1"/>
  <c r="L59" i="1"/>
  <c r="K59" i="1"/>
  <c r="J59" i="1"/>
  <c r="I59" i="1"/>
  <c r="H59" i="1"/>
  <c r="T59" i="1" s="1"/>
  <c r="G59" i="1"/>
  <c r="F59" i="1"/>
  <c r="E59" i="1"/>
  <c r="D59" i="1"/>
  <c r="C59" i="1"/>
  <c r="B59" i="1"/>
  <c r="R59" i="1" s="1"/>
  <c r="A59" i="1"/>
  <c r="Q59" i="1" s="1"/>
  <c r="M58" i="1"/>
  <c r="M70" i="1" s="1"/>
  <c r="L58" i="1"/>
  <c r="L70" i="1" s="1"/>
  <c r="K58" i="1"/>
  <c r="U58" i="1" s="1"/>
  <c r="J58" i="1"/>
  <c r="J70" i="1" s="1"/>
  <c r="I58" i="1"/>
  <c r="I70" i="1" s="1"/>
  <c r="H58" i="1"/>
  <c r="H70" i="1" s="1"/>
  <c r="G58" i="1"/>
  <c r="G70" i="1" s="1"/>
  <c r="F58" i="1"/>
  <c r="F70" i="1" s="1"/>
  <c r="E58" i="1"/>
  <c r="S58" i="1" s="1"/>
  <c r="D58" i="1"/>
  <c r="D70" i="1" s="1"/>
  <c r="C58" i="1"/>
  <c r="C70" i="1" s="1"/>
  <c r="B58" i="1"/>
  <c r="B70" i="1" s="1"/>
  <c r="A58" i="1"/>
  <c r="Q58" i="1" s="1"/>
  <c r="M57" i="1"/>
  <c r="L57" i="1"/>
  <c r="K57" i="1"/>
  <c r="J57" i="1"/>
  <c r="I57" i="1"/>
  <c r="H57" i="1"/>
  <c r="T57" i="1" s="1"/>
  <c r="G57" i="1"/>
  <c r="F57" i="1"/>
  <c r="E57" i="1"/>
  <c r="D57" i="1"/>
  <c r="C57" i="1"/>
  <c r="B57" i="1"/>
  <c r="R57" i="1" s="1"/>
  <c r="A57" i="1"/>
  <c r="Q57" i="1" s="1"/>
  <c r="M56" i="1"/>
  <c r="M68" i="1" s="1"/>
  <c r="L56" i="1"/>
  <c r="L68" i="1" s="1"/>
  <c r="K56" i="1"/>
  <c r="J56" i="1"/>
  <c r="J68" i="1" s="1"/>
  <c r="I56" i="1"/>
  <c r="I68" i="1" s="1"/>
  <c r="H56" i="1"/>
  <c r="H68" i="1" s="1"/>
  <c r="G56" i="1"/>
  <c r="G68" i="1" s="1"/>
  <c r="F56" i="1"/>
  <c r="F68" i="1" s="1"/>
  <c r="E56" i="1"/>
  <c r="D56" i="1"/>
  <c r="D68" i="1" s="1"/>
  <c r="B56" i="1"/>
  <c r="B68" i="1" s="1"/>
  <c r="A56" i="1"/>
  <c r="Q56" i="1" s="1"/>
  <c r="M55" i="1"/>
  <c r="L55" i="1"/>
  <c r="K55" i="1"/>
  <c r="J55" i="1"/>
  <c r="I55" i="1"/>
  <c r="H55" i="1"/>
  <c r="G55" i="1"/>
  <c r="F55" i="1"/>
  <c r="E55" i="1"/>
  <c r="D55" i="1"/>
  <c r="C55" i="1"/>
  <c r="B55" i="1"/>
  <c r="M54" i="1"/>
  <c r="L54" i="1"/>
  <c r="K54" i="1"/>
  <c r="J54" i="1"/>
  <c r="I54" i="1"/>
  <c r="H54" i="1"/>
  <c r="G54" i="1"/>
  <c r="F54" i="1"/>
  <c r="E54" i="1"/>
  <c r="D54" i="1"/>
  <c r="C54" i="1"/>
  <c r="B54" i="1"/>
  <c r="M53" i="1"/>
  <c r="L53" i="1"/>
  <c r="K53" i="1"/>
  <c r="J53" i="1"/>
  <c r="I53" i="1"/>
  <c r="H53" i="1"/>
  <c r="G53" i="1"/>
  <c r="F53" i="1"/>
  <c r="E53" i="1"/>
  <c r="D53" i="1"/>
  <c r="C53" i="1"/>
  <c r="B53" i="1"/>
  <c r="M52" i="1"/>
  <c r="L52" i="1"/>
  <c r="K52" i="1"/>
  <c r="J52" i="1"/>
  <c r="I52" i="1"/>
  <c r="H52" i="1"/>
  <c r="G52" i="1"/>
  <c r="F52" i="1"/>
  <c r="E52" i="1"/>
  <c r="D52" i="1"/>
  <c r="C52" i="1"/>
  <c r="B52" i="1"/>
  <c r="M51" i="1"/>
  <c r="L51" i="1"/>
  <c r="K51" i="1"/>
  <c r="J51" i="1"/>
  <c r="I51" i="1"/>
  <c r="H51" i="1"/>
  <c r="G51" i="1"/>
  <c r="F51" i="1"/>
  <c r="E51" i="1"/>
  <c r="D51" i="1"/>
  <c r="C51" i="1"/>
  <c r="B51" i="1"/>
  <c r="M50" i="1"/>
  <c r="L50" i="1"/>
  <c r="K50" i="1"/>
  <c r="J50" i="1"/>
  <c r="I50" i="1"/>
  <c r="H50" i="1"/>
  <c r="G50" i="1"/>
  <c r="F50" i="1"/>
  <c r="E50" i="1"/>
  <c r="D50" i="1"/>
  <c r="C50" i="1"/>
  <c r="B50" i="1"/>
  <c r="M49" i="1"/>
  <c r="L49" i="1"/>
  <c r="K49" i="1"/>
  <c r="J49" i="1"/>
  <c r="I49" i="1"/>
  <c r="H49" i="1"/>
  <c r="G49" i="1"/>
  <c r="F49" i="1"/>
  <c r="E49" i="1"/>
  <c r="D49" i="1"/>
  <c r="C49" i="1"/>
  <c r="B49" i="1"/>
  <c r="M48" i="1"/>
  <c r="L48" i="1"/>
  <c r="K48" i="1"/>
  <c r="J48" i="1"/>
  <c r="J63" i="1" s="1"/>
  <c r="I48" i="1"/>
  <c r="H48" i="1"/>
  <c r="H63" i="1" s="1"/>
  <c r="G48" i="1"/>
  <c r="F48" i="1"/>
  <c r="E48" i="1"/>
  <c r="D48" i="1"/>
  <c r="C48" i="1"/>
  <c r="B48" i="1"/>
  <c r="B63" i="1" s="1"/>
  <c r="A48" i="1"/>
  <c r="Q48" i="1" s="1"/>
  <c r="Q47" i="1" s="1"/>
  <c r="N40" i="1"/>
  <c r="N39" i="1"/>
  <c r="N38" i="1"/>
  <c r="N37" i="1"/>
  <c r="N36" i="1"/>
  <c r="N35" i="1"/>
  <c r="N34" i="1"/>
  <c r="N33" i="1"/>
  <c r="D25" i="1"/>
  <c r="F22" i="1"/>
  <c r="B12" i="1"/>
  <c r="D9" i="1"/>
  <c r="V55" i="2" l="1"/>
  <c r="V50" i="2"/>
  <c r="V54" i="2"/>
  <c r="V53" i="2"/>
  <c r="V52" i="2"/>
  <c r="V51" i="2"/>
  <c r="V49" i="2"/>
  <c r="V48" i="2"/>
  <c r="G63" i="1"/>
  <c r="V58" i="2"/>
  <c r="N68" i="2"/>
  <c r="V56" i="2"/>
  <c r="A50" i="2"/>
  <c r="Q49" i="2"/>
  <c r="S57" i="1"/>
  <c r="U57" i="1"/>
  <c r="S59" i="1"/>
  <c r="U59" i="1"/>
  <c r="U55" i="1"/>
  <c r="U54" i="1"/>
  <c r="U53" i="1"/>
  <c r="T48" i="1"/>
  <c r="A49" i="1"/>
  <c r="A50" i="1" s="1"/>
  <c r="Q50" i="1" s="1"/>
  <c r="S54" i="1"/>
  <c r="S55" i="1"/>
  <c r="S53" i="1"/>
  <c r="S52" i="1"/>
  <c r="S51" i="1"/>
  <c r="S50" i="1"/>
  <c r="S49" i="1"/>
  <c r="E63" i="1"/>
  <c r="D63" i="1"/>
  <c r="R48" i="1"/>
  <c r="M63" i="1"/>
  <c r="U52" i="1"/>
  <c r="U51" i="1"/>
  <c r="U50" i="1"/>
  <c r="U49" i="1"/>
  <c r="K63" i="1"/>
  <c r="S48" i="1"/>
  <c r="U48" i="1"/>
  <c r="R49" i="1"/>
  <c r="T49" i="1"/>
  <c r="R50" i="1"/>
  <c r="T50" i="1"/>
  <c r="R51" i="1"/>
  <c r="T51" i="1"/>
  <c r="R52" i="1"/>
  <c r="T52" i="1"/>
  <c r="R53" i="1"/>
  <c r="T53" i="1"/>
  <c r="R54" i="1"/>
  <c r="T54" i="1"/>
  <c r="R55" i="1"/>
  <c r="T55" i="1"/>
  <c r="N48" i="1"/>
  <c r="N50" i="1"/>
  <c r="N52" i="1"/>
  <c r="N53" i="1"/>
  <c r="N54" i="1"/>
  <c r="N55" i="1"/>
  <c r="N56" i="1"/>
  <c r="T56" i="1"/>
  <c r="N49" i="1"/>
  <c r="N51" i="1"/>
  <c r="S56" i="1"/>
  <c r="E68" i="1"/>
  <c r="U56" i="1"/>
  <c r="K68" i="1"/>
  <c r="R56" i="1"/>
  <c r="V57" i="1"/>
  <c r="V59" i="1"/>
  <c r="L63" i="1"/>
  <c r="N57" i="1"/>
  <c r="N58" i="1"/>
  <c r="R58" i="1"/>
  <c r="T58" i="1"/>
  <c r="N59" i="1"/>
  <c r="C63" i="1"/>
  <c r="I63" i="1"/>
  <c r="Q63" i="1"/>
  <c r="E70" i="1"/>
  <c r="K70" i="1"/>
  <c r="F63" i="1"/>
  <c r="Q50" i="2" l="1"/>
  <c r="A51" i="2"/>
  <c r="V58" i="1"/>
  <c r="V56" i="1"/>
  <c r="V49" i="1"/>
  <c r="V55" i="1"/>
  <c r="V51" i="1"/>
  <c r="V53" i="1"/>
  <c r="V54" i="1"/>
  <c r="Q49" i="1"/>
  <c r="A51" i="1"/>
  <c r="V48" i="1"/>
  <c r="V52" i="1"/>
  <c r="V50" i="1"/>
  <c r="N70" i="1"/>
  <c r="N63" i="1"/>
  <c r="N68" i="1"/>
  <c r="A52" i="1"/>
  <c r="Q51" i="1"/>
  <c r="A52" i="2" l="1"/>
  <c r="Q51" i="2"/>
  <c r="A53" i="1"/>
  <c r="Q52" i="1"/>
  <c r="A64" i="1"/>
  <c r="A53" i="2" l="1"/>
  <c r="Q52" i="2"/>
  <c r="A64" i="2"/>
  <c r="L66" i="1"/>
  <c r="J66" i="1"/>
  <c r="H66" i="1"/>
  <c r="F66" i="1"/>
  <c r="D66" i="1"/>
  <c r="B66" i="1"/>
  <c r="A65" i="1"/>
  <c r="L64" i="1"/>
  <c r="J64" i="1"/>
  <c r="H64" i="1"/>
  <c r="F64" i="1"/>
  <c r="D64" i="1"/>
  <c r="B64" i="1"/>
  <c r="M66" i="1"/>
  <c r="K66" i="1"/>
  <c r="I66" i="1"/>
  <c r="G66" i="1"/>
  <c r="E66" i="1"/>
  <c r="C66" i="1"/>
  <c r="Q64" i="1"/>
  <c r="M64" i="1"/>
  <c r="K64" i="1"/>
  <c r="I64" i="1"/>
  <c r="G64" i="1"/>
  <c r="E64" i="1"/>
  <c r="C64" i="1"/>
  <c r="A54" i="1"/>
  <c r="Q53" i="1"/>
  <c r="M66" i="2" l="1"/>
  <c r="K66" i="2"/>
  <c r="I66" i="2"/>
  <c r="G66" i="2"/>
  <c r="E66" i="2"/>
  <c r="C66" i="2"/>
  <c r="Q64" i="2"/>
  <c r="M64" i="2"/>
  <c r="K64" i="2"/>
  <c r="I64" i="2"/>
  <c r="G64" i="2"/>
  <c r="E64" i="2"/>
  <c r="C64" i="2"/>
  <c r="L66" i="2"/>
  <c r="J66" i="2"/>
  <c r="H66" i="2"/>
  <c r="F66" i="2"/>
  <c r="D66" i="2"/>
  <c r="B66" i="2"/>
  <c r="A65" i="2"/>
  <c r="L64" i="2"/>
  <c r="J64" i="2"/>
  <c r="H64" i="2"/>
  <c r="F64" i="2"/>
  <c r="D64" i="2"/>
  <c r="B64" i="2"/>
  <c r="A54" i="2"/>
  <c r="Q53" i="2"/>
  <c r="A55" i="1"/>
  <c r="Q55" i="1" s="1"/>
  <c r="Q54" i="1"/>
  <c r="M67" i="1"/>
  <c r="K67" i="1"/>
  <c r="I67" i="1"/>
  <c r="G67" i="1"/>
  <c r="E67" i="1"/>
  <c r="C67" i="1"/>
  <c r="Q65" i="1"/>
  <c r="M65" i="1"/>
  <c r="K65" i="1"/>
  <c r="I65" i="1"/>
  <c r="G65" i="1"/>
  <c r="E65" i="1"/>
  <c r="C65" i="1"/>
  <c r="L67" i="1"/>
  <c r="J67" i="1"/>
  <c r="H67" i="1"/>
  <c r="F67" i="1"/>
  <c r="D67" i="1"/>
  <c r="B67" i="1"/>
  <c r="A66" i="1"/>
  <c r="L65" i="1"/>
  <c r="J65" i="1"/>
  <c r="H65" i="1"/>
  <c r="F65" i="1"/>
  <c r="D65" i="1"/>
  <c r="B65" i="1"/>
  <c r="N66" i="1"/>
  <c r="N64" i="1"/>
  <c r="N66" i="2" l="1"/>
  <c r="N64" i="2"/>
  <c r="L67" i="2"/>
  <c r="J67" i="2"/>
  <c r="H67" i="2"/>
  <c r="F67" i="2"/>
  <c r="D67" i="2"/>
  <c r="B67" i="2"/>
  <c r="A66" i="2"/>
  <c r="L65" i="2"/>
  <c r="J65" i="2"/>
  <c r="H65" i="2"/>
  <c r="F65" i="2"/>
  <c r="D65" i="2"/>
  <c r="B65" i="2"/>
  <c r="M67" i="2"/>
  <c r="K67" i="2"/>
  <c r="I67" i="2"/>
  <c r="G67" i="2"/>
  <c r="E67" i="2"/>
  <c r="C67" i="2"/>
  <c r="Q65" i="2"/>
  <c r="M65" i="2"/>
  <c r="K65" i="2"/>
  <c r="I65" i="2"/>
  <c r="G65" i="2"/>
  <c r="E65" i="2"/>
  <c r="C65" i="2"/>
  <c r="A55" i="2"/>
  <c r="Q55" i="2" s="1"/>
  <c r="Q54" i="2"/>
  <c r="N67" i="1"/>
  <c r="N65" i="1"/>
  <c r="A67" i="1"/>
  <c r="Q66" i="1"/>
  <c r="N65" i="2" l="1"/>
  <c r="Q66" i="2"/>
  <c r="A67" i="2"/>
  <c r="N67" i="2"/>
  <c r="Q67" i="1"/>
  <c r="A68" i="1"/>
  <c r="A68" i="2" l="1"/>
  <c r="Q67" i="2"/>
  <c r="A69" i="1"/>
  <c r="Q68" i="1"/>
  <c r="A69" i="2" l="1"/>
  <c r="Q68" i="2"/>
  <c r="Q69" i="1"/>
  <c r="A70" i="1"/>
  <c r="Q69" i="2" l="1"/>
  <c r="A70" i="2"/>
  <c r="A71" i="1"/>
  <c r="Q70" i="1"/>
  <c r="A71" i="2" l="1"/>
  <c r="Q70" i="2"/>
  <c r="Q71" i="1"/>
  <c r="M71" i="1"/>
  <c r="K71" i="1"/>
  <c r="I71" i="1"/>
  <c r="G71" i="1"/>
  <c r="E71" i="1"/>
  <c r="C71" i="1"/>
  <c r="M69" i="1"/>
  <c r="K69" i="1"/>
  <c r="I69" i="1"/>
  <c r="G69" i="1"/>
  <c r="E69" i="1"/>
  <c r="C69" i="1"/>
  <c r="L71" i="1"/>
  <c r="J71" i="1"/>
  <c r="H71" i="1"/>
  <c r="F71" i="1"/>
  <c r="D71" i="1"/>
  <c r="B71" i="1"/>
  <c r="L69" i="1"/>
  <c r="J69" i="1"/>
  <c r="H69" i="1"/>
  <c r="F69" i="1"/>
  <c r="D69" i="1"/>
  <c r="B69" i="1"/>
  <c r="Q71" i="2" l="1"/>
  <c r="M71" i="2"/>
  <c r="K71" i="2"/>
  <c r="I71" i="2"/>
  <c r="G71" i="2"/>
  <c r="E71" i="2"/>
  <c r="C71" i="2"/>
  <c r="M69" i="2"/>
  <c r="K69" i="2"/>
  <c r="I69" i="2"/>
  <c r="G69" i="2"/>
  <c r="E69" i="2"/>
  <c r="C69" i="2"/>
  <c r="L71" i="2"/>
  <c r="J71" i="2"/>
  <c r="H71" i="2"/>
  <c r="F71" i="2"/>
  <c r="D71" i="2"/>
  <c r="B71" i="2"/>
  <c r="L69" i="2"/>
  <c r="J69" i="2"/>
  <c r="H69" i="2"/>
  <c r="F69" i="2"/>
  <c r="D69" i="2"/>
  <c r="B69" i="2"/>
  <c r="N69" i="1"/>
  <c r="N71" i="1"/>
  <c r="N69" i="2" l="1"/>
  <c r="R63" i="2" s="1"/>
  <c r="D18" i="2" s="1"/>
  <c r="N71" i="2"/>
  <c r="R63" i="1"/>
  <c r="R64" i="1" s="1"/>
  <c r="R64" i="2" l="1"/>
  <c r="L77" i="2" s="1"/>
  <c r="J11" i="2" s="1"/>
  <c r="I77" i="2"/>
  <c r="K23" i="2" s="1"/>
  <c r="C77" i="2"/>
  <c r="H19" i="2" s="1"/>
  <c r="D23" i="2"/>
  <c r="B17" i="2"/>
  <c r="E23" i="2"/>
  <c r="B19" i="2"/>
  <c r="F15" i="2"/>
  <c r="C11" i="2"/>
  <c r="D18" i="1"/>
  <c r="L78" i="1"/>
  <c r="K11" i="1" s="1"/>
  <c r="L77" i="1"/>
  <c r="F77" i="1"/>
  <c r="I76" i="1"/>
  <c r="J23" i="1" s="1"/>
  <c r="F78" i="1"/>
  <c r="M19" i="1" s="1"/>
  <c r="I77" i="1"/>
  <c r="C77" i="1"/>
  <c r="C76" i="1"/>
  <c r="H15" i="1" s="1"/>
  <c r="S64" i="1"/>
  <c r="D23" i="1"/>
  <c r="F19" i="1"/>
  <c r="B17" i="1"/>
  <c r="B15" i="1"/>
  <c r="D11" i="1"/>
  <c r="E23" i="1"/>
  <c r="F17" i="1"/>
  <c r="F15" i="1"/>
  <c r="C11" i="1"/>
  <c r="C23" i="1"/>
  <c r="B19" i="1"/>
  <c r="E11" i="1"/>
  <c r="C76" i="2" l="1"/>
  <c r="H15" i="2" s="1"/>
  <c r="I76" i="2"/>
  <c r="J23" i="2" s="1"/>
  <c r="D11" i="2"/>
  <c r="E11" i="2"/>
  <c r="F17" i="2"/>
  <c r="C23" i="2"/>
  <c r="B15" i="2"/>
  <c r="F19" i="2"/>
  <c r="S64" i="2"/>
  <c r="C7" i="2" s="1"/>
  <c r="F7" i="2" s="1"/>
  <c r="F78" i="2"/>
  <c r="M19" i="2" s="1"/>
  <c r="F77" i="2"/>
  <c r="M15" i="2" s="1"/>
  <c r="L78" i="2"/>
  <c r="K11" i="2" s="1"/>
  <c r="W48" i="2"/>
  <c r="K23" i="1"/>
  <c r="J11" i="1"/>
  <c r="W48" i="1"/>
  <c r="C7" i="1"/>
  <c r="F7" i="1" s="1"/>
  <c r="H19" i="1"/>
  <c r="M15" i="1"/>
  <c r="W49" i="2" l="1"/>
  <c r="W50" i="2" s="1"/>
  <c r="W51" i="2" s="1"/>
  <c r="W49" i="1"/>
  <c r="W50" i="1" s="1"/>
  <c r="W51" i="1" s="1"/>
  <c r="V61" i="2" l="1"/>
  <c r="W61" i="2" s="1"/>
  <c r="Q61" i="2" s="1"/>
  <c r="F8" i="2" s="1"/>
  <c r="C8" i="2" s="1"/>
  <c r="S61" i="2"/>
  <c r="M22" i="2" s="1"/>
  <c r="R61" i="2"/>
  <c r="I12" i="2" s="1"/>
  <c r="U61" i="2"/>
  <c r="K9" i="2" s="1"/>
  <c r="T61" i="2"/>
  <c r="K25" i="2" s="1"/>
  <c r="U61" i="1"/>
  <c r="K9" i="1" s="1"/>
  <c r="R61" i="1"/>
  <c r="I12" i="1" s="1"/>
  <c r="V61" i="1"/>
  <c r="W61" i="1" s="1"/>
  <c r="Q61" i="1" s="1"/>
  <c r="F8" i="1" s="1"/>
  <c r="C8" i="1" s="1"/>
  <c r="T61" i="1"/>
  <c r="K25" i="1" s="1"/>
  <c r="S61" i="1"/>
  <c r="M22" i="1" s="1"/>
  <c r="C28" i="2" l="1"/>
  <c r="C28" i="1"/>
</calcChain>
</file>

<file path=xl/sharedStrings.xml><?xml version="1.0" encoding="utf-8"?>
<sst xmlns="http://schemas.openxmlformats.org/spreadsheetml/2006/main" count="213" uniqueCount="55">
  <si>
    <t>Sierra Traffic Data Service</t>
  </si>
  <si>
    <t>INTERSECTION TURNING MOVEMENT SUMMARY</t>
  </si>
  <si>
    <t>INTERSECTION:</t>
  </si>
  <si>
    <t>TIME:</t>
  </si>
  <si>
    <t>to</t>
  </si>
  <si>
    <t>JURISDICTION:</t>
  </si>
  <si>
    <t>DATE:</t>
  </si>
  <si>
    <t>PROJECT  TITLE:</t>
  </si>
  <si>
    <t>PROJECT NO:</t>
  </si>
  <si>
    <t>PEAK HOUR PERIOD:</t>
  </si>
  <si>
    <t>PEAK 15 MINUTE PERIOD:</t>
  </si>
  <si>
    <t>PHF =</t>
  </si>
  <si>
    <t>TOTAL</t>
  </si>
  <si>
    <t>N</t>
  </si>
  <si>
    <t>INTERSECTION</t>
  </si>
  <si>
    <t>.</t>
  </si>
  <si>
    <t>PEAK HOUR FACTOR:</t>
  </si>
  <si>
    <t xml:space="preserve"> </t>
  </si>
  <si>
    <t>Eastbound</t>
  </si>
  <si>
    <t>Westbound</t>
  </si>
  <si>
    <t>Northbound</t>
  </si>
  <si>
    <t>Southbound</t>
  </si>
  <si>
    <t>RUNNING COUNTS</t>
  </si>
  <si>
    <t>Left</t>
  </si>
  <si>
    <t>Thru</t>
  </si>
  <si>
    <t>Right</t>
  </si>
  <si>
    <t>Period End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</si>
  <si>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</si>
  <si>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</si>
  <si>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</si>
  <si>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</si>
  <si>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</si>
  <si>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</si>
  <si>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</si>
  <si>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</si>
  <si>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</si>
  <si>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</si>
  <si>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</si>
  <si>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</si>
  <si>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PERIOD COUNTS</t>
  </si>
  <si>
    <t>sum 15 min pk</t>
  </si>
  <si>
    <t>EB</t>
  </si>
  <si>
    <t>WB</t>
  </si>
  <si>
    <t>NB</t>
  </si>
  <si>
    <t>SB</t>
  </si>
  <si>
    <t>Total</t>
  </si>
  <si>
    <t>HOURLY TOTALS</t>
  </si>
  <si>
    <t>Beginning At</t>
  </si>
  <si>
    <t>Hr Peak</t>
  </si>
  <si>
    <t>Depart</t>
  </si>
  <si>
    <t>Arrival</t>
  </si>
  <si>
    <t>Prater</t>
  </si>
  <si>
    <t>Sparks</t>
  </si>
  <si>
    <t>Prater &amp; Sparks</t>
  </si>
  <si>
    <t>Tues 3-2211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</si>
</sst>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\-d\-yy\,\ ddd"/>
  </numFmts>
  <fonts count="13">
    <font>
      <sz val="11"/>
      <color theme="1"/>
      <name val="Calibri"/>
      <family val="2"/>
      <scheme val="minor"/>
    </font>
    <font>
      <b/>
      <i/>
      <sz val="16"/>
      <name val="Geneva"/>
    </font>
    <font>
      <sz val="12"/>
      <name val="Tms Rmn"/>
    </font>
    <font>
      <b/>
      <i/>
      <sz val="16"/>
      <name val="Tms Rmn"/>
    </font>
    <font>
      <b/>
      <sz val="18"/>
      <name val="Tms Rmn"/>
    </font>
    <font>
      <b/>
      <sz val="12"/>
      <name val="Tms Rmn"/>
    </font>
    <font>
      <b/>
      <sz val="10"/>
      <name val="Tms Rmn"/>
    </font>
    <font>
      <sz val="10"/>
      <name val="Tms Rmn"/>
    </font>
    <font>
      <b/>
      <sz val="18"/>
      <color indexed="11"/>
      <name val="Tms Rmn"/>
    </font>
    <font>
      <b/>
      <sz val="12"/>
      <name val="Geneva"/>
    </font>
    <font>
      <b/>
      <u/>
      <sz val="12"/>
      <name val="Tms Rmn"/>
    </font>
    <font>
      <b/>
      <u/>
      <sz val="10"/>
      <name val="Tms Rmn"/>
    </font>
    <font>
      <b/>
      <sz val="14"/>
      <name val="Tms Rmn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15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</borders>
  <cellStyleXfs count="2">
    <xf numFmtId="0" fontId="0" fillId="0" borderId="0"/>
    <xf numFmtId="0" fontId="2" fillId="0" borderId="0"/>
  </cellStyleXfs>
  <cellXfs count="119">
    <xf numFmtId="0" fontId="0" fillId="0" borderId="0" xfId="0"/>
    <xf numFmtId="0" fontId="1" fillId="0" borderId="0" xfId="0" applyFont="1"/>
    <xf numFmtId="0" fontId="3" fillId="0" borderId="0" xfId="1" applyFont="1" applyProtection="1"/>
    <xf numFmtId="0" fontId="4" fillId="0" borderId="0" xfId="1" applyFont="1" applyAlignment="1" applyProtection="1">
      <alignment horizontal="centerContinuous"/>
    </xf>
    <xf numFmtId="0" fontId="2" fillId="0" borderId="0" xfId="1" applyAlignment="1" applyProtection="1">
      <alignment horizontal="centerContinuous"/>
    </xf>
    <xf numFmtId="0" fontId="2" fillId="0" borderId="0" xfId="1" applyProtection="1"/>
    <xf numFmtId="0" fontId="5" fillId="2" borderId="1" xfId="1" applyFont="1" applyFill="1" applyBorder="1" applyProtection="1"/>
    <xf numFmtId="0" fontId="5" fillId="2" borderId="2" xfId="1" applyFont="1" applyFill="1" applyBorder="1" applyAlignment="1" applyProtection="1">
      <alignment horizontal="left"/>
      <protection locked="0"/>
    </xf>
    <xf numFmtId="0" fontId="2" fillId="2" borderId="2" xfId="1" applyFill="1" applyBorder="1" applyProtection="1"/>
    <xf numFmtId="0" fontId="5" fillId="2" borderId="2" xfId="1" applyFont="1" applyFill="1" applyBorder="1" applyAlignment="1" applyProtection="1">
      <alignment horizontal="left"/>
    </xf>
    <xf numFmtId="18" fontId="6" fillId="2" borderId="2" xfId="1" applyNumberFormat="1" applyFont="1" applyFill="1" applyBorder="1" applyAlignment="1" applyProtection="1">
      <alignment horizontal="left"/>
      <protection locked="0"/>
    </xf>
    <xf numFmtId="0" fontId="6" fillId="2" borderId="2" xfId="1" applyFont="1" applyFill="1" applyBorder="1" applyAlignment="1" applyProtection="1">
      <alignment horizontal="center"/>
      <protection locked="0"/>
    </xf>
    <xf numFmtId="18" fontId="6" fillId="2" borderId="2" xfId="1" applyNumberFormat="1" applyFont="1" applyFill="1" applyBorder="1" applyAlignment="1" applyProtection="1">
      <protection locked="0"/>
    </xf>
    <xf numFmtId="18" fontId="2" fillId="2" borderId="3" xfId="1" applyNumberFormat="1" applyFill="1" applyBorder="1" applyAlignment="1" applyProtection="1"/>
    <xf numFmtId="18" fontId="2" fillId="0" borderId="0" xfId="1" applyNumberFormat="1" applyAlignment="1" applyProtection="1"/>
    <xf numFmtId="0" fontId="0" fillId="0" borderId="0" xfId="0" applyProtection="1"/>
    <xf numFmtId="0" fontId="5" fillId="2" borderId="4" xfId="1" applyFont="1" applyFill="1" applyBorder="1" applyProtection="1"/>
    <xf numFmtId="0" fontId="5" fillId="2" borderId="0" xfId="1" applyFont="1" applyFill="1" applyBorder="1" applyAlignment="1" applyProtection="1">
      <alignment horizontal="left"/>
      <protection locked="0"/>
    </xf>
    <xf numFmtId="0" fontId="2" fillId="2" borderId="0" xfId="1" applyFill="1" applyBorder="1" applyProtection="1"/>
    <xf numFmtId="0" fontId="5" fillId="2" borderId="0" xfId="1" applyFont="1" applyFill="1" applyBorder="1" applyAlignment="1" applyProtection="1">
      <alignment horizontal="left"/>
    </xf>
    <xf numFmtId="164" fontId="6" fillId="2" borderId="0" xfId="1" applyNumberFormat="1" applyFont="1" applyFill="1" applyBorder="1" applyAlignment="1" applyProtection="1">
      <alignment horizontal="centerContinuous"/>
      <protection locked="0"/>
    </xf>
    <xf numFmtId="14" fontId="6" fillId="2" borderId="0" xfId="1" applyNumberFormat="1" applyFont="1" applyFill="1" applyBorder="1" applyAlignment="1" applyProtection="1">
      <alignment horizontal="centerContinuous"/>
      <protection locked="0"/>
    </xf>
    <xf numFmtId="0" fontId="6" fillId="2" borderId="0" xfId="1" applyFont="1" applyFill="1" applyBorder="1" applyAlignment="1" applyProtection="1">
      <alignment horizontal="centerContinuous"/>
      <protection locked="0"/>
    </xf>
    <xf numFmtId="0" fontId="2" fillId="2" borderId="5" xfId="1" applyFill="1" applyBorder="1" applyAlignment="1" applyProtection="1"/>
    <xf numFmtId="0" fontId="2" fillId="0" borderId="0" xfId="1" applyBorder="1" applyAlignment="1" applyProtection="1"/>
    <xf numFmtId="0" fontId="5" fillId="2" borderId="6" xfId="1" applyFont="1" applyFill="1" applyBorder="1" applyAlignment="1" applyProtection="1">
      <alignment horizontal="left"/>
    </xf>
    <xf numFmtId="0" fontId="5" fillId="2" borderId="7" xfId="1" applyFont="1" applyFill="1" applyBorder="1" applyAlignment="1" applyProtection="1">
      <alignment horizontal="left"/>
      <protection locked="0"/>
    </xf>
    <xf numFmtId="0" fontId="2" fillId="2" borderId="7" xfId="1" applyFont="1" applyFill="1" applyBorder="1" applyProtection="1"/>
    <xf numFmtId="0" fontId="2" fillId="2" borderId="7" xfId="1" applyFill="1" applyBorder="1" applyProtection="1"/>
    <xf numFmtId="0" fontId="2" fillId="2" borderId="7" xfId="1" applyFont="1" applyFill="1" applyBorder="1" applyAlignment="1" applyProtection="1">
      <alignment horizontal="left"/>
    </xf>
    <xf numFmtId="0" fontId="5" fillId="2" borderId="7" xfId="1" applyFont="1" applyFill="1" applyBorder="1" applyProtection="1"/>
    <xf numFmtId="0" fontId="5" fillId="2" borderId="7" xfId="1" applyFont="1" applyFill="1" applyBorder="1" applyAlignment="1" applyProtection="1">
      <alignment horizontal="centerContinuous"/>
      <protection locked="0"/>
    </xf>
    <xf numFmtId="0" fontId="6" fillId="2" borderId="7" xfId="1" applyFont="1" applyFill="1" applyBorder="1" applyAlignment="1" applyProtection="1">
      <alignment horizontal="centerContinuous"/>
      <protection locked="0"/>
    </xf>
    <xf numFmtId="0" fontId="5" fillId="2" borderId="7" xfId="1" applyFont="1" applyFill="1" applyBorder="1" applyAlignment="1" applyProtection="1">
      <protection locked="0"/>
    </xf>
    <xf numFmtId="0" fontId="2" fillId="2" borderId="8" xfId="1" applyFont="1" applyFill="1" applyBorder="1" applyProtection="1"/>
    <xf numFmtId="0" fontId="2" fillId="0" borderId="0" xfId="1" applyFont="1" applyBorder="1" applyProtection="1"/>
    <xf numFmtId="1" fontId="2" fillId="0" borderId="4" xfId="1" applyNumberFormat="1" applyFont="1" applyBorder="1" applyAlignment="1" applyProtection="1">
      <alignment horizontal="left"/>
    </xf>
    <xf numFmtId="0" fontId="2" fillId="0" borderId="0" xfId="1" applyBorder="1" applyProtection="1"/>
    <xf numFmtId="18" fontId="2" fillId="0" borderId="0" xfId="1" applyNumberFormat="1" applyFont="1" applyBorder="1" applyAlignment="1" applyProtection="1">
      <alignment horizontal="centerContinuous"/>
    </xf>
    <xf numFmtId="0" fontId="2" fillId="0" borderId="0" xfId="1" applyFont="1" applyBorder="1" applyAlignment="1" applyProtection="1">
      <alignment horizontal="centerContinuous"/>
    </xf>
    <xf numFmtId="20" fontId="2" fillId="0" borderId="0" xfId="1" applyNumberFormat="1" applyFont="1" applyBorder="1" applyAlignment="1" applyProtection="1">
      <alignment horizontal="center"/>
    </xf>
    <xf numFmtId="0" fontId="2" fillId="0" borderId="5" xfId="1" applyBorder="1" applyProtection="1"/>
    <xf numFmtId="0" fontId="2" fillId="0" borderId="0" xfId="1" applyFont="1" applyProtection="1"/>
    <xf numFmtId="0" fontId="2" fillId="0" borderId="0" xfId="1" applyFont="1" applyBorder="1" applyAlignment="1" applyProtection="1">
      <alignment horizontal="center"/>
    </xf>
    <xf numFmtId="20" fontId="2" fillId="0" borderId="0" xfId="1" applyNumberFormat="1" applyFont="1" applyBorder="1" applyAlignment="1" applyProtection="1">
      <alignment horizontal="centerContinuous"/>
    </xf>
    <xf numFmtId="18" fontId="2" fillId="0" borderId="0" xfId="1" applyNumberFormat="1" applyFont="1" applyBorder="1" applyAlignment="1" applyProtection="1"/>
    <xf numFmtId="0" fontId="2" fillId="0" borderId="0" xfId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center"/>
    </xf>
    <xf numFmtId="0" fontId="2" fillId="0" borderId="4" xfId="1" applyBorder="1" applyProtection="1"/>
    <xf numFmtId="0" fontId="2" fillId="0" borderId="0" xfId="1" applyAlignment="1" applyProtection="1">
      <alignment horizontal="right" vertical="center" textRotation="90"/>
    </xf>
    <xf numFmtId="0" fontId="2" fillId="0" borderId="0" xfId="1" applyFont="1" applyAlignment="1" applyProtection="1">
      <alignment horizontal="center" vertical="center" textRotation="90"/>
    </xf>
    <xf numFmtId="0" fontId="2" fillId="0" borderId="0" xfId="1" applyAlignment="1" applyProtection="1">
      <alignment horizontal="left" vertical="center" textRotation="90"/>
    </xf>
    <xf numFmtId="0" fontId="2" fillId="0" borderId="0" xfId="1" applyAlignment="1" applyProtection="1">
      <alignment horizontal="center" textRotation="90"/>
    </xf>
    <xf numFmtId="0" fontId="0" fillId="0" borderId="4" xfId="0" applyBorder="1" applyProtection="1"/>
    <xf numFmtId="0" fontId="2" fillId="0" borderId="0" xfId="1" applyFont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left"/>
    </xf>
    <xf numFmtId="0" fontId="2" fillId="0" borderId="0" xfId="1" applyAlignment="1" applyProtection="1">
      <alignment horizontal="center"/>
    </xf>
    <xf numFmtId="0" fontId="2" fillId="0" borderId="0" xfId="1" applyAlignment="1" applyProtection="1">
      <alignment horizontal="right"/>
    </xf>
    <xf numFmtId="0" fontId="2" fillId="0" borderId="0" xfId="1" applyAlignment="1" applyProtection="1">
      <alignment horizontal="left"/>
    </xf>
    <xf numFmtId="0" fontId="2" fillId="0" borderId="0" xfId="1" applyBorder="1" applyAlignment="1" applyProtection="1">
      <alignment horizontal="center"/>
    </xf>
    <xf numFmtId="0" fontId="2" fillId="0" borderId="5" xfId="1" applyBorder="1" applyAlignment="1" applyProtection="1">
      <alignment horizontal="center"/>
    </xf>
    <xf numFmtId="0" fontId="2" fillId="0" borderId="0" xfId="1" applyFont="1" applyAlignment="1" applyProtection="1">
      <alignment horizontal="center"/>
    </xf>
    <xf numFmtId="0" fontId="0" fillId="0" borderId="5" xfId="0" applyBorder="1" applyProtection="1"/>
    <xf numFmtId="2" fontId="2" fillId="0" borderId="0" xfId="1" applyNumberFormat="1" applyAlignment="1" applyProtection="1">
      <alignment horizontal="right"/>
    </xf>
    <xf numFmtId="3" fontId="2" fillId="0" borderId="0" xfId="1" applyNumberFormat="1" applyAlignment="1" applyProtection="1">
      <alignment horizontal="center"/>
    </xf>
    <xf numFmtId="0" fontId="2" fillId="0" borderId="0" xfId="1" applyBorder="1" applyAlignment="1" applyProtection="1">
      <alignment horizontal="centerContinuous"/>
    </xf>
    <xf numFmtId="0" fontId="2" fillId="0" borderId="0" xfId="1" applyAlignment="1" applyProtection="1">
      <alignment horizontal="center" vertical="top" textRotation="90"/>
    </xf>
    <xf numFmtId="0" fontId="7" fillId="0" borderId="0" xfId="1" applyFont="1" applyBorder="1" applyAlignment="1" applyProtection="1">
      <alignment horizontal="centerContinuous"/>
    </xf>
    <xf numFmtId="0" fontId="8" fillId="0" borderId="0" xfId="1" applyFont="1" applyFill="1" applyBorder="1" applyAlignment="1" applyProtection="1">
      <alignment horizontal="centerContinuous"/>
    </xf>
    <xf numFmtId="0" fontId="2" fillId="0" borderId="0" xfId="1" applyFill="1" applyBorder="1" applyAlignment="1" applyProtection="1">
      <alignment horizontal="centerContinuous"/>
    </xf>
    <xf numFmtId="0" fontId="2" fillId="0" borderId="4" xfId="1" quotePrefix="1" applyFont="1" applyBorder="1" applyAlignment="1" applyProtection="1">
      <alignment horizontal="left"/>
    </xf>
    <xf numFmtId="0" fontId="9" fillId="2" borderId="9" xfId="0" applyFont="1" applyFill="1" applyBorder="1" applyAlignment="1" applyProtection="1">
      <alignment horizontal="centerContinuous"/>
    </xf>
    <xf numFmtId="0" fontId="9" fillId="2" borderId="2" xfId="0" applyFont="1" applyFill="1" applyBorder="1" applyAlignment="1" applyProtection="1">
      <alignment horizontal="center"/>
      <protection locked="0"/>
    </xf>
    <xf numFmtId="0" fontId="9" fillId="2" borderId="2" xfId="0" applyFont="1" applyFill="1" applyBorder="1" applyAlignment="1" applyProtection="1">
      <alignment horizontal="centerContinuous"/>
    </xf>
    <xf numFmtId="0" fontId="5" fillId="2" borderId="10" xfId="1" applyFont="1" applyFill="1" applyBorder="1" applyProtection="1"/>
    <xf numFmtId="0" fontId="6" fillId="0" borderId="0" xfId="1" applyFont="1" applyBorder="1" applyProtection="1"/>
    <xf numFmtId="0" fontId="6" fillId="0" borderId="0" xfId="1" applyFont="1" applyProtection="1"/>
    <xf numFmtId="0" fontId="2" fillId="2" borderId="4" xfId="1" applyFont="1" applyFill="1" applyBorder="1" applyProtection="1"/>
    <xf numFmtId="0" fontId="2" fillId="2" borderId="11" xfId="1" applyFont="1" applyFill="1" applyBorder="1" applyProtection="1"/>
    <xf numFmtId="0" fontId="2" fillId="2" borderId="0" xfId="1" applyFont="1" applyFill="1" applyBorder="1" applyAlignment="1" applyProtection="1">
      <alignment horizontal="center"/>
    </xf>
    <xf numFmtId="0" fontId="2" fillId="2" borderId="11" xfId="1" applyFont="1" applyFill="1" applyBorder="1" applyAlignment="1" applyProtection="1">
      <alignment horizontal="center"/>
    </xf>
    <xf numFmtId="0" fontId="2" fillId="2" borderId="12" xfId="1" applyFont="1" applyFill="1" applyBorder="1" applyProtection="1"/>
    <xf numFmtId="0" fontId="7" fillId="0" borderId="0" xfId="1" applyFont="1" applyBorder="1" applyProtection="1"/>
    <xf numFmtId="0" fontId="7" fillId="0" borderId="0" xfId="1" applyFont="1" applyProtection="1"/>
    <xf numFmtId="0" fontId="7" fillId="0" borderId="0" xfId="1" applyFont="1" applyBorder="1" applyAlignment="1" applyProtection="1">
      <alignment horizontal="center"/>
    </xf>
    <xf numFmtId="0" fontId="5" fillId="2" borderId="6" xfId="1" applyFont="1" applyFill="1" applyBorder="1" applyAlignment="1" applyProtection="1">
      <alignment horizontal="center"/>
    </xf>
    <xf numFmtId="0" fontId="2" fillId="2" borderId="13" xfId="1" applyFont="1" applyFill="1" applyBorder="1" applyAlignment="1" applyProtection="1">
      <alignment horizontal="center"/>
    </xf>
    <xf numFmtId="0" fontId="2" fillId="2" borderId="7" xfId="1" applyFont="1" applyFill="1" applyBorder="1" applyAlignment="1" applyProtection="1">
      <alignment horizontal="center"/>
    </xf>
    <xf numFmtId="0" fontId="2" fillId="2" borderId="14" xfId="1" applyFont="1" applyFill="1" applyBorder="1" applyProtection="1"/>
    <xf numFmtId="0" fontId="10" fillId="0" borderId="4" xfId="1" applyFont="1" applyBorder="1" applyAlignment="1" applyProtection="1">
      <alignment horizontal="center"/>
    </xf>
    <xf numFmtId="0" fontId="10" fillId="0" borderId="11" xfId="1" applyFont="1" applyBorder="1" applyAlignment="1" applyProtection="1">
      <alignment horizontal="center"/>
    </xf>
    <xf numFmtId="0" fontId="10" fillId="0" borderId="0" xfId="1" applyFont="1" applyBorder="1" applyAlignment="1" applyProtection="1">
      <alignment horizontal="center"/>
    </xf>
    <xf numFmtId="0" fontId="10" fillId="0" borderId="12" xfId="1" applyFont="1" applyBorder="1" applyAlignment="1" applyProtection="1">
      <alignment horizontal="center"/>
    </xf>
    <xf numFmtId="0" fontId="11" fillId="0" borderId="0" xfId="1" applyFont="1" applyBorder="1" applyAlignment="1" applyProtection="1">
      <alignment horizontal="center"/>
    </xf>
    <xf numFmtId="18" fontId="2" fillId="0" borderId="4" xfId="1" applyNumberFormat="1" applyFont="1" applyBorder="1" applyAlignment="1" applyProtection="1">
      <alignment horizontal="center"/>
    </xf>
    <xf numFmtId="0" fontId="2" fillId="0" borderId="11" xfId="1" applyFont="1" applyBorder="1" applyAlignment="1" applyProtection="1">
      <alignment horizontal="center"/>
      <protection locked="0"/>
    </xf>
    <xf numFmtId="0" fontId="2" fillId="0" borderId="0" xfId="1" applyFont="1" applyBorder="1" applyAlignment="1" applyProtection="1">
      <alignment horizontal="center"/>
      <protection locked="0"/>
    </xf>
    <xf numFmtId="0" fontId="2" fillId="0" borderId="12" xfId="1" applyFont="1" applyBorder="1" applyAlignment="1" applyProtection="1">
      <alignment horizontal="center"/>
    </xf>
    <xf numFmtId="20" fontId="7" fillId="0" borderId="0" xfId="1" applyNumberFormat="1" applyFont="1" applyProtection="1"/>
    <xf numFmtId="0" fontId="2" fillId="0" borderId="11" xfId="1" applyFont="1" applyBorder="1" applyAlignment="1" applyProtection="1">
      <alignment horizontal="center"/>
    </xf>
    <xf numFmtId="0" fontId="2" fillId="0" borderId="4" xfId="1" applyFont="1" applyBorder="1" applyAlignment="1" applyProtection="1">
      <alignment horizontal="center"/>
    </xf>
    <xf numFmtId="0" fontId="5" fillId="0" borderId="6" xfId="1" applyFont="1" applyBorder="1" applyAlignment="1" applyProtection="1">
      <alignment horizontal="center"/>
    </xf>
    <xf numFmtId="0" fontId="2" fillId="0" borderId="13" xfId="1" applyFont="1" applyBorder="1" applyAlignment="1" applyProtection="1">
      <alignment horizontal="center"/>
    </xf>
    <xf numFmtId="0" fontId="2" fillId="0" borderId="7" xfId="1" applyFont="1" applyBorder="1" applyAlignment="1" applyProtection="1">
      <alignment horizontal="center"/>
    </xf>
    <xf numFmtId="0" fontId="2" fillId="0" borderId="14" xfId="1" applyFont="1" applyBorder="1" applyAlignment="1" applyProtection="1">
      <alignment horizontal="center"/>
    </xf>
    <xf numFmtId="0" fontId="7" fillId="0" borderId="0" xfId="1" applyFont="1" applyAlignment="1" applyProtection="1">
      <alignment horizontal="centerContinuous"/>
    </xf>
    <xf numFmtId="0" fontId="7" fillId="0" borderId="0" xfId="1" applyFont="1" applyAlignment="1" applyProtection="1">
      <alignment horizontal="center"/>
    </xf>
    <xf numFmtId="1" fontId="7" fillId="0" borderId="0" xfId="1" applyNumberFormat="1" applyFont="1" applyAlignment="1" applyProtection="1">
      <alignment horizontal="center"/>
    </xf>
    <xf numFmtId="0" fontId="2" fillId="0" borderId="13" xfId="1" applyFont="1" applyBorder="1" applyProtection="1"/>
    <xf numFmtId="0" fontId="2" fillId="0" borderId="7" xfId="1" applyFont="1" applyBorder="1" applyProtection="1"/>
    <xf numFmtId="0" fontId="2" fillId="0" borderId="14" xfId="1" applyFont="1" applyBorder="1" applyProtection="1"/>
    <xf numFmtId="20" fontId="7" fillId="0" borderId="0" xfId="1" applyNumberFormat="1" applyFont="1" applyAlignment="1" applyProtection="1">
      <alignment horizontal="center"/>
    </xf>
    <xf numFmtId="0" fontId="2" fillId="0" borderId="6" xfId="1" applyFont="1" applyBorder="1" applyAlignment="1" applyProtection="1">
      <alignment horizontal="left"/>
    </xf>
    <xf numFmtId="0" fontId="2" fillId="0" borderId="0" xfId="1" applyFont="1" applyAlignment="1" applyProtection="1">
      <alignment horizontal="left"/>
    </xf>
    <xf numFmtId="0" fontId="7" fillId="0" borderId="0" xfId="1" applyFont="1" applyAlignment="1" applyProtection="1">
      <alignment horizontal="left"/>
    </xf>
    <xf numFmtId="0" fontId="5" fillId="0" borderId="0" xfId="1" applyFont="1" applyProtection="1"/>
    <xf numFmtId="0" fontId="2" fillId="0" borderId="0" xfId="1" applyAlignment="1" applyProtection="1"/>
    <xf numFmtId="0" fontId="12" fillId="0" borderId="0" xfId="1" applyFont="1" applyAlignment="1" applyProtection="1">
      <alignment horizontal="left"/>
    </xf>
    <xf numFmtId="0" fontId="7" fillId="0" borderId="0" xfId="1" applyFont="1" applyBorder="1" applyAlignment="1" applyProtection="1">
      <alignment horizontal="left"/>
    </xf>
  </cellXfs>
  <cellStyles count="2">
    <cellStyle name="Normal" xfId="0" builtinId="0"/>
    <cellStyle name="Normal_2HourCount(TN).0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4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4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1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4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7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4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7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0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1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4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1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1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0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2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2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2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0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7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7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7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7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7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3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8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8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1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1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1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1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1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3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63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64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4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4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4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64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4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6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8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8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8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8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9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9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9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0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0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0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0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0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0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0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1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1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5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1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1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1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5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5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1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5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4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4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4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4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4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3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3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3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5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5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76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6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6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6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6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6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6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7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7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7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1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7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7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1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1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8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9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1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1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0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0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0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0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0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9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9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2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2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82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2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82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2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2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83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3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3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3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3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8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3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4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8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7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4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5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7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7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7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7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6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6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6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6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6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8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8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88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8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8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88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9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9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9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89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9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9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9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9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9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0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94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0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0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0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94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0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94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0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1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93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93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3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3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3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2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2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2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2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94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94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94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95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95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5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95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95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5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95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95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96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96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6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0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0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6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6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6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0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6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0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7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0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0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9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9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9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9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9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8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8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1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1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01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1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01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1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1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01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2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2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2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2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02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2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7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7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2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2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3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6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6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3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4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6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6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06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05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05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05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5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5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7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74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07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7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77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07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7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8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81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08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8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8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8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8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87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08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8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3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3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9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9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9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3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9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3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9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0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2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2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2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2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1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1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1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1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3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137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13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3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140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14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4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14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144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4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4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14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14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150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15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5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9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9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15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15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5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9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5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9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5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6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9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6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8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8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8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8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7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7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7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9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00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20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0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203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20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0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20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207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20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0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21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21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213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21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1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6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21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21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2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5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2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5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2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3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3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5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25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25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24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24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24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24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24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3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6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6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26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6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26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26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6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26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27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27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7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27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27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27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27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7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32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2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27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28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8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32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2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8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31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2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8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9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9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9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9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9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31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31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31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31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30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30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0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0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30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0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0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30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0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30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32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32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2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2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3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3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3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3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3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3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33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3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3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33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34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4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38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8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34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34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4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4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34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38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8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4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38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8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34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4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35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38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8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5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37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5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37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37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37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37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36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6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36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6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36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38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38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9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9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9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9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9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9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9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9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9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0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0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0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0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44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5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0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0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0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0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0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44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1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44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41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2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44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44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43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43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43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43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43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42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42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45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45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45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45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45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45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45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45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45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46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6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6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6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46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6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6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6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51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1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6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7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51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1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7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50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47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8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50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50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50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50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49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9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49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9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49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9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9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49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9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49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51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51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51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1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51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51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2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52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52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52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52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52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52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52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52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53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57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53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53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53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57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7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3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57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7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3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54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56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7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4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56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4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56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4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56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5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56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5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55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5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55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5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5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55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5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5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57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57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57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8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58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58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8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58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58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58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58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58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58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59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59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59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63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3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59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59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59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63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3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9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63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3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0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63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3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63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3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62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62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62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62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62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1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1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1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64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64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64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64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64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64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64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64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64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64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65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65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5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65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5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65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65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70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0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65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65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5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6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69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69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6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7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7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7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69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69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69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68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68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8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68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8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68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8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8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8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70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704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70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0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707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70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0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71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711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71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71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71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1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71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717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1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71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76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6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72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72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2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2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72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76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2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76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72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2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2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2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3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3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3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3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3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73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75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5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3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75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5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3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5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5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3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5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5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3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5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4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4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4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4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4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74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74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76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767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76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6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770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77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7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77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774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77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77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77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7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77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780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8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78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2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2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78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78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8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8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78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2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8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2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78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79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2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9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81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1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81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1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81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1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81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1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80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1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80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80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tabSelected="1" workbookViewId="0">
      <selection activeCell="M42" sqref="M42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53</v>
      </c>
      <c r="D4" s="8"/>
      <c r="E4" s="8"/>
      <c r="F4" s="8"/>
      <c r="G4" s="8"/>
      <c r="H4" s="8"/>
      <c r="I4" s="9" t="s">
        <v>3</v>
      </c>
      <c r="J4" s="9"/>
      <c r="K4" s="10">
        <v>0.66666666666666663</v>
      </c>
      <c r="L4" s="11" t="s">
        <v>4</v>
      </c>
      <c r="M4" s="12">
        <v>0.75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54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48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0.69791666666666663</v>
      </c>
      <c r="D7" s="39"/>
      <c r="E7" s="40" t="s">
        <v>4</v>
      </c>
      <c r="F7" s="38">
        <f>C7+60/1440</f>
        <v>0.73958333333333326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0.72916666666666652</v>
      </c>
      <c r="D8" s="39"/>
      <c r="E8" s="40" t="s">
        <v>4</v>
      </c>
      <c r="F8" s="38">
        <f>Q61</f>
        <v>0.73958333333333315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Sparks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0.73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>
        <f>IF(L29="N/A","N/A",IF(C29="N/A","N/A",INDEX($B$63:$M$71,$R$64,12)))</f>
        <v>98</v>
      </c>
      <c r="D11" s="50">
        <f>IF(L29="N/A","N/A",IF(I29="N/A","N/A",INDEX($B$63:$M$71,$R$64,11)))</f>
        <v>528</v>
      </c>
      <c r="E11" s="51">
        <f>IF(L29="N/A","N/A",IF(F29="N/A","N/A",INDEX($B$63:$M$71,$R$64,10)))</f>
        <v>104</v>
      </c>
      <c r="F11" s="37"/>
      <c r="G11" s="37"/>
      <c r="H11" s="37"/>
      <c r="I11" s="15"/>
      <c r="J11" s="52">
        <f>IF(L29="N/A","N/A",L77)</f>
        <v>730</v>
      </c>
      <c r="K11" s="52">
        <f>IF(L29="N/A","N/A",L78)</f>
        <v>1727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Prater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0.86926605504587151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>
        <f>IF(C29="N/A","N/A",IF(L29="N/A","N/A",INDEX($B$63:$M$71,$R$64,1)))</f>
        <v>307</v>
      </c>
      <c r="C15" s="37"/>
      <c r="D15" s="37"/>
      <c r="E15" s="37"/>
      <c r="F15" s="56">
        <f>IF(F29="N/A","N/A",IF(L29="N/A","N/A",INDEX($B$63:$M$71,$R$64,6)))</f>
        <v>70</v>
      </c>
      <c r="G15" s="37"/>
      <c r="H15" s="57">
        <f>IF(C29="N/A","N/A",C76)</f>
        <v>506</v>
      </c>
      <c r="I15" s="37"/>
      <c r="J15" s="37"/>
      <c r="K15" s="37"/>
      <c r="L15" s="15"/>
      <c r="M15" s="58">
        <f>IF(F29="N/A","N/A",F77)</f>
        <v>489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 t="s">
        <v>17</v>
      </c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345</v>
      </c>
      <c r="C17" s="37"/>
      <c r="D17" s="37"/>
      <c r="E17" s="37"/>
      <c r="F17" s="61">
        <f>IF(F29="N/A","N/A",IF(C29="N/A","N/A",INDEX($B$63:$M$71,$R$64,5)))</f>
        <v>272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3619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>
        <f>IF(C29="N/A","N/A",IF(I29="N/A","N/A",INDEX($B$63:$M$71,$R$64,3)))</f>
        <v>106</v>
      </c>
      <c r="C19" s="37"/>
      <c r="D19" s="37"/>
      <c r="E19" s="37"/>
      <c r="F19" s="56">
        <f>IF(F29="N/A","N/A",IF(I29="N/A","N/A",INDEX($B$63:$M$71,$R$64,4)))</f>
        <v>147</v>
      </c>
      <c r="G19" s="37"/>
      <c r="H19" s="57">
        <f>IF(C29="N/A","N/A",C77)</f>
        <v>758</v>
      </c>
      <c r="I19" s="37"/>
      <c r="J19" s="37"/>
      <c r="K19" s="37"/>
      <c r="L19" s="15"/>
      <c r="M19" s="58">
        <f>IF(F29="N/A","N/A",F78)</f>
        <v>605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Prater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0.84895833333333337</v>
      </c>
      <c r="N22" s="62"/>
      <c r="P22" s="5" t="s">
        <v>17</v>
      </c>
      <c r="Q22" s="42"/>
      <c r="R22" s="42"/>
    </row>
    <row r="23" spans="1:28" ht="30" customHeight="1">
      <c r="A23" s="48"/>
      <c r="B23" s="37"/>
      <c r="C23" s="49">
        <f>IF(I29="N/A","N/A",IF(C29="N/A","N/A",INDEX($B$63:$M$71,$R$64,7)))</f>
        <v>136</v>
      </c>
      <c r="D23" s="50">
        <f>IF(I29="N/A","N/A",IF(L29="N/A","N/A",INDEX($B$63:$M$71,$R$64,8)))</f>
        <v>1350</v>
      </c>
      <c r="E23" s="51">
        <f>IF(I29="N/A","N/A",IF(F29="N/A","N/A",INDEX($B$63:$M$71,$R$64,9)))</f>
        <v>156</v>
      </c>
      <c r="F23" s="15"/>
      <c r="G23" s="65"/>
      <c r="H23" s="37"/>
      <c r="I23" s="37"/>
      <c r="J23" s="66">
        <f>IF(I29="N/A","N/A",I76)</f>
        <v>781</v>
      </c>
      <c r="K23" s="66">
        <f>IF(I29="N/A","N/A",I77)</f>
        <v>1642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Sparks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0.9245495495495496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0.93562564632885215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51</v>
      </c>
      <c r="D29" s="73"/>
      <c r="E29" s="71"/>
      <c r="F29" s="72" t="s">
        <v>51</v>
      </c>
      <c r="G29" s="73"/>
      <c r="H29" s="71"/>
      <c r="I29" s="72" t="s">
        <v>52</v>
      </c>
      <c r="J29" s="73"/>
      <c r="K29" s="71"/>
      <c r="L29" s="72" t="s">
        <v>52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0.67708333333333337</v>
      </c>
      <c r="B33" s="95">
        <v>84</v>
      </c>
      <c r="C33" s="96">
        <v>80</v>
      </c>
      <c r="D33" s="96">
        <v>25</v>
      </c>
      <c r="E33" s="95">
        <v>40</v>
      </c>
      <c r="F33" s="96">
        <v>79</v>
      </c>
      <c r="G33" s="96">
        <v>15</v>
      </c>
      <c r="H33" s="95">
        <v>47</v>
      </c>
      <c r="I33" s="96">
        <v>306</v>
      </c>
      <c r="J33" s="96">
        <v>30</v>
      </c>
      <c r="K33" s="95">
        <v>9</v>
      </c>
      <c r="L33" s="96">
        <v>140</v>
      </c>
      <c r="M33" s="96">
        <v>17</v>
      </c>
      <c r="N33" s="97">
        <f t="shared" ref="N33:N40" si="0">IF(SUM(B33:M33)&lt;=0,"",SUM(B33:M33))</f>
        <v>872</v>
      </c>
      <c r="O33" s="84"/>
      <c r="P33" s="84"/>
      <c r="Q33" s="98"/>
    </row>
    <row r="34" spans="1:28" s="83" customFormat="1">
      <c r="A34" s="94">
        <v>0.6875</v>
      </c>
      <c r="B34" s="95">
        <v>165</v>
      </c>
      <c r="C34" s="96">
        <v>169</v>
      </c>
      <c r="D34" s="96">
        <v>39</v>
      </c>
      <c r="E34" s="95">
        <v>82</v>
      </c>
      <c r="F34" s="96">
        <v>165</v>
      </c>
      <c r="G34" s="96">
        <v>33</v>
      </c>
      <c r="H34" s="95">
        <v>86</v>
      </c>
      <c r="I34" s="96">
        <v>585</v>
      </c>
      <c r="J34" s="96">
        <v>61</v>
      </c>
      <c r="K34" s="95">
        <v>41</v>
      </c>
      <c r="L34" s="96">
        <v>283</v>
      </c>
      <c r="M34" s="96">
        <v>43</v>
      </c>
      <c r="N34" s="97">
        <f t="shared" si="0"/>
        <v>1752</v>
      </c>
      <c r="O34" s="84"/>
      <c r="P34" s="84"/>
      <c r="Q34" s="98"/>
    </row>
    <row r="35" spans="1:28" s="83" customFormat="1">
      <c r="A35" s="94">
        <v>0.69791666666666663</v>
      </c>
      <c r="B35" s="95">
        <v>213</v>
      </c>
      <c r="C35" s="96">
        <v>221</v>
      </c>
      <c r="D35" s="96">
        <v>59</v>
      </c>
      <c r="E35" s="95">
        <v>119</v>
      </c>
      <c r="F35" s="96">
        <v>238</v>
      </c>
      <c r="G35" s="96">
        <v>49</v>
      </c>
      <c r="H35" s="95">
        <v>116</v>
      </c>
      <c r="I35" s="96">
        <v>785</v>
      </c>
      <c r="J35" s="96">
        <v>91</v>
      </c>
      <c r="K35" s="95">
        <v>52</v>
      </c>
      <c r="L35" s="96">
        <v>391</v>
      </c>
      <c r="M35" s="96">
        <v>58</v>
      </c>
      <c r="N35" s="97">
        <f t="shared" si="0"/>
        <v>2392</v>
      </c>
      <c r="O35" s="84"/>
      <c r="P35" s="84"/>
      <c r="Q35" s="98"/>
    </row>
    <row r="36" spans="1:28" s="76" customFormat="1">
      <c r="A36" s="94">
        <v>0.70833333333333304</v>
      </c>
      <c r="B36" s="95">
        <v>297</v>
      </c>
      <c r="C36" s="96">
        <v>329</v>
      </c>
      <c r="D36" s="96">
        <v>85</v>
      </c>
      <c r="E36" s="95">
        <v>162</v>
      </c>
      <c r="F36" s="96">
        <v>319</v>
      </c>
      <c r="G36" s="96">
        <v>60</v>
      </c>
      <c r="H36" s="95">
        <v>151</v>
      </c>
      <c r="I36" s="96">
        <v>1136</v>
      </c>
      <c r="J36" s="96">
        <v>136</v>
      </c>
      <c r="K36" s="95">
        <v>74</v>
      </c>
      <c r="L36" s="96">
        <v>514</v>
      </c>
      <c r="M36" s="96">
        <v>83</v>
      </c>
      <c r="N36" s="97">
        <f t="shared" si="0"/>
        <v>3346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0.71875</v>
      </c>
      <c r="B37" s="95">
        <v>370</v>
      </c>
      <c r="C37" s="96">
        <v>401</v>
      </c>
      <c r="D37" s="96">
        <v>111</v>
      </c>
      <c r="E37" s="95">
        <v>197</v>
      </c>
      <c r="F37" s="96">
        <v>398</v>
      </c>
      <c r="G37" s="96">
        <v>90</v>
      </c>
      <c r="H37" s="95">
        <v>192</v>
      </c>
      <c r="I37" s="96">
        <v>1494</v>
      </c>
      <c r="J37" s="96">
        <v>181</v>
      </c>
      <c r="K37" s="95">
        <v>99</v>
      </c>
      <c r="L37" s="96">
        <v>637</v>
      </c>
      <c r="M37" s="96">
        <v>101</v>
      </c>
      <c r="N37" s="97">
        <f t="shared" si="0"/>
        <v>4271</v>
      </c>
      <c r="O37" s="84"/>
      <c r="P37" s="84"/>
      <c r="Q37" s="98"/>
    </row>
    <row r="38" spans="1:28" s="83" customFormat="1">
      <c r="A38" s="94">
        <v>0.72916666666666696</v>
      </c>
      <c r="B38" s="95">
        <v>443</v>
      </c>
      <c r="C38" s="96">
        <v>485</v>
      </c>
      <c r="D38" s="96">
        <v>126</v>
      </c>
      <c r="E38" s="95">
        <v>232</v>
      </c>
      <c r="F38" s="96">
        <v>448</v>
      </c>
      <c r="G38" s="96">
        <v>101</v>
      </c>
      <c r="H38" s="95">
        <v>217</v>
      </c>
      <c r="I38" s="96">
        <v>1794</v>
      </c>
      <c r="J38" s="96">
        <v>217</v>
      </c>
      <c r="K38" s="95">
        <v>124</v>
      </c>
      <c r="L38" s="96">
        <v>745</v>
      </c>
      <c r="M38" s="96">
        <v>112</v>
      </c>
      <c r="N38" s="97">
        <f t="shared" si="0"/>
        <v>5044</v>
      </c>
      <c r="O38" s="84"/>
      <c r="P38" s="84"/>
      <c r="Q38" s="98"/>
    </row>
    <row r="39" spans="1:28" s="83" customFormat="1">
      <c r="A39" s="94">
        <v>0.73958333333333304</v>
      </c>
      <c r="B39" s="95">
        <v>520</v>
      </c>
      <c r="C39" s="96">
        <v>566</v>
      </c>
      <c r="D39" s="96">
        <v>165</v>
      </c>
      <c r="E39" s="95">
        <v>266</v>
      </c>
      <c r="F39" s="96">
        <v>510</v>
      </c>
      <c r="G39" s="96">
        <v>119</v>
      </c>
      <c r="H39" s="95">
        <v>252</v>
      </c>
      <c r="I39" s="96">
        <v>2135</v>
      </c>
      <c r="J39" s="96">
        <v>247</v>
      </c>
      <c r="K39" s="95">
        <v>156</v>
      </c>
      <c r="L39" s="96">
        <v>919</v>
      </c>
      <c r="M39" s="96">
        <v>156</v>
      </c>
      <c r="N39" s="97">
        <f t="shared" si="0"/>
        <v>6011</v>
      </c>
      <c r="O39" s="84"/>
      <c r="P39" s="84"/>
      <c r="Q39" s="98" t="s">
        <v>17</v>
      </c>
    </row>
    <row r="40" spans="1:28" s="83" customFormat="1">
      <c r="A40" s="94">
        <v>0.75</v>
      </c>
      <c r="B40" s="95">
        <v>591</v>
      </c>
      <c r="C40" s="96">
        <v>636</v>
      </c>
      <c r="D40" s="96">
        <v>190</v>
      </c>
      <c r="E40" s="95">
        <v>291</v>
      </c>
      <c r="F40" s="96">
        <v>573</v>
      </c>
      <c r="G40" s="96">
        <v>126</v>
      </c>
      <c r="H40" s="95">
        <v>268</v>
      </c>
      <c r="I40" s="96">
        <v>2383</v>
      </c>
      <c r="J40" s="96">
        <v>263</v>
      </c>
      <c r="K40" s="95">
        <v>161</v>
      </c>
      <c r="L40" s="96">
        <v>1040</v>
      </c>
      <c r="M40" s="96">
        <v>173</v>
      </c>
      <c r="N40" s="97">
        <f t="shared" si="0"/>
        <v>6695</v>
      </c>
      <c r="O40" s="84"/>
      <c r="P40" s="84"/>
      <c r="Q40" s="98"/>
    </row>
    <row r="41" spans="1:28" s="83" customFormat="1">
      <c r="A41" s="94"/>
      <c r="B41" s="99"/>
      <c r="C41" s="43" t="s">
        <v>17</v>
      </c>
      <c r="D41" s="43"/>
      <c r="E41" s="99"/>
      <c r="F41" s="43"/>
      <c r="G41" s="43"/>
      <c r="H41" s="99"/>
      <c r="I41" s="43"/>
      <c r="J41" s="43"/>
      <c r="K41" s="99"/>
      <c r="L41" s="43"/>
      <c r="M41" s="43"/>
      <c r="N41" s="97"/>
      <c r="O41" s="84"/>
      <c r="P41" s="84"/>
      <c r="Q41" s="98"/>
    </row>
    <row r="42" spans="1:28" s="83" customFormat="1">
      <c r="A42" s="94"/>
      <c r="B42" s="99"/>
      <c r="C42" s="43"/>
      <c r="D42" s="43"/>
      <c r="E42" s="99"/>
      <c r="F42" s="43"/>
      <c r="G42" s="43"/>
      <c r="H42" s="99"/>
      <c r="I42" s="43"/>
      <c r="J42" s="43"/>
      <c r="K42" s="99"/>
      <c r="L42" s="43"/>
      <c r="M42" s="43"/>
      <c r="N42" s="97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0.66666666666666674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0.67708333333333337</v>
      </c>
      <c r="B48" s="99">
        <f>IF(B33="","",B33)</f>
        <v>84</v>
      </c>
      <c r="C48" s="43">
        <f>IF(C33="","",C33)</f>
        <v>80</v>
      </c>
      <c r="D48" s="43">
        <f>IF(D33="","",D33)</f>
        <v>25</v>
      </c>
      <c r="E48" s="99">
        <f t="shared" ref="E48:M48" si="1">IF(E33="","",E33)</f>
        <v>40</v>
      </c>
      <c r="F48" s="43">
        <f t="shared" si="1"/>
        <v>79</v>
      </c>
      <c r="G48" s="43">
        <f t="shared" si="1"/>
        <v>15</v>
      </c>
      <c r="H48" s="99">
        <f t="shared" si="1"/>
        <v>47</v>
      </c>
      <c r="I48" s="43">
        <f t="shared" si="1"/>
        <v>306</v>
      </c>
      <c r="J48" s="43">
        <f t="shared" si="1"/>
        <v>30</v>
      </c>
      <c r="K48" s="99">
        <f t="shared" si="1"/>
        <v>9</v>
      </c>
      <c r="L48" s="43">
        <f t="shared" si="1"/>
        <v>140</v>
      </c>
      <c r="M48" s="43">
        <f t="shared" si="1"/>
        <v>17</v>
      </c>
      <c r="N48" s="97">
        <f t="shared" ref="N48:N58" si="2">IF(SUM(B48:M48)&lt;=0,"",SUM(B48:M48))</f>
        <v>872</v>
      </c>
      <c r="O48" s="84"/>
      <c r="P48" s="84"/>
      <c r="Q48" s="98">
        <f t="shared" ref="Q48:Q59" si="3">$A48</f>
        <v>0.67708333333333337</v>
      </c>
      <c r="R48" s="106">
        <f t="shared" ref="R48:R59" si="4">SUM(B48:D48)</f>
        <v>189</v>
      </c>
      <c r="S48" s="106">
        <f t="shared" ref="S48:S59" si="5">SUM(E48:G48)</f>
        <v>134</v>
      </c>
      <c r="T48" s="106">
        <f t="shared" ref="T48:T59" si="6">SUM(H48:J48)</f>
        <v>383</v>
      </c>
      <c r="U48" s="106">
        <f t="shared" ref="U48:U59" si="7">SUM(K48:M48)</f>
        <v>166</v>
      </c>
      <c r="V48" s="106">
        <f t="shared" ref="V48:V59" si="8">SUM(R48:U48)</f>
        <v>872</v>
      </c>
      <c r="W48" s="107">
        <f>MATCH(S64,Q47:Q59,0)</f>
        <v>4</v>
      </c>
    </row>
    <row r="49" spans="1:23" s="83" customFormat="1">
      <c r="A49" s="94">
        <f t="shared" ref="A49:A59" si="9">IF(A34="","",A48+15/1440)</f>
        <v>0.6875</v>
      </c>
      <c r="B49" s="99">
        <f t="shared" ref="B49:M59" si="10">IF(B34="","",B34-B33)</f>
        <v>81</v>
      </c>
      <c r="C49" s="43">
        <f t="shared" si="10"/>
        <v>89</v>
      </c>
      <c r="D49" s="43">
        <f t="shared" si="10"/>
        <v>14</v>
      </c>
      <c r="E49" s="99">
        <f t="shared" si="10"/>
        <v>42</v>
      </c>
      <c r="F49" s="43">
        <f t="shared" si="10"/>
        <v>86</v>
      </c>
      <c r="G49" s="43">
        <f t="shared" si="10"/>
        <v>18</v>
      </c>
      <c r="H49" s="99">
        <f t="shared" si="10"/>
        <v>39</v>
      </c>
      <c r="I49" s="43">
        <f t="shared" si="10"/>
        <v>279</v>
      </c>
      <c r="J49" s="43">
        <f t="shared" si="10"/>
        <v>31</v>
      </c>
      <c r="K49" s="99">
        <f t="shared" si="10"/>
        <v>32</v>
      </c>
      <c r="L49" s="43">
        <f t="shared" si="10"/>
        <v>143</v>
      </c>
      <c r="M49" s="43">
        <f t="shared" si="10"/>
        <v>26</v>
      </c>
      <c r="N49" s="97">
        <f t="shared" si="2"/>
        <v>880</v>
      </c>
      <c r="O49" s="84"/>
      <c r="P49" s="84"/>
      <c r="Q49" s="98">
        <f t="shared" si="3"/>
        <v>0.6875</v>
      </c>
      <c r="R49" s="106">
        <f t="shared" si="4"/>
        <v>184</v>
      </c>
      <c r="S49" s="106">
        <f t="shared" si="5"/>
        <v>146</v>
      </c>
      <c r="T49" s="106">
        <f t="shared" si="6"/>
        <v>349</v>
      </c>
      <c r="U49" s="106">
        <f t="shared" si="7"/>
        <v>201</v>
      </c>
      <c r="V49" s="106">
        <f t="shared" si="8"/>
        <v>880</v>
      </c>
      <c r="W49" s="107">
        <f>W48+1</f>
        <v>5</v>
      </c>
    </row>
    <row r="50" spans="1:23" s="83" customFormat="1">
      <c r="A50" s="94">
        <f t="shared" si="9"/>
        <v>0.69791666666666663</v>
      </c>
      <c r="B50" s="99">
        <f t="shared" si="10"/>
        <v>48</v>
      </c>
      <c r="C50" s="43">
        <f t="shared" si="10"/>
        <v>52</v>
      </c>
      <c r="D50" s="43">
        <f t="shared" si="10"/>
        <v>20</v>
      </c>
      <c r="E50" s="99">
        <f t="shared" si="10"/>
        <v>37</v>
      </c>
      <c r="F50" s="43">
        <f t="shared" si="10"/>
        <v>73</v>
      </c>
      <c r="G50" s="43">
        <f t="shared" si="10"/>
        <v>16</v>
      </c>
      <c r="H50" s="99">
        <f t="shared" si="10"/>
        <v>30</v>
      </c>
      <c r="I50" s="43">
        <f t="shared" si="10"/>
        <v>200</v>
      </c>
      <c r="J50" s="43">
        <f t="shared" si="10"/>
        <v>30</v>
      </c>
      <c r="K50" s="99">
        <f t="shared" si="10"/>
        <v>11</v>
      </c>
      <c r="L50" s="43">
        <f t="shared" si="10"/>
        <v>108</v>
      </c>
      <c r="M50" s="43">
        <f t="shared" si="10"/>
        <v>15</v>
      </c>
      <c r="N50" s="97">
        <f t="shared" si="2"/>
        <v>640</v>
      </c>
      <c r="O50" s="84"/>
      <c r="P50" s="84"/>
      <c r="Q50" s="98">
        <f t="shared" si="3"/>
        <v>0.69791666666666663</v>
      </c>
      <c r="R50" s="106">
        <f t="shared" si="4"/>
        <v>120</v>
      </c>
      <c r="S50" s="106">
        <f t="shared" si="5"/>
        <v>126</v>
      </c>
      <c r="T50" s="106">
        <f t="shared" si="6"/>
        <v>260</v>
      </c>
      <c r="U50" s="106">
        <f t="shared" si="7"/>
        <v>134</v>
      </c>
      <c r="V50" s="106">
        <f t="shared" si="8"/>
        <v>640</v>
      </c>
      <c r="W50" s="107">
        <f>W49+1</f>
        <v>6</v>
      </c>
    </row>
    <row r="51" spans="1:23" s="83" customFormat="1">
      <c r="A51" s="94">
        <f t="shared" si="9"/>
        <v>0.70833333333333326</v>
      </c>
      <c r="B51" s="99">
        <f t="shared" si="10"/>
        <v>84</v>
      </c>
      <c r="C51" s="43">
        <f t="shared" si="10"/>
        <v>108</v>
      </c>
      <c r="D51" s="43">
        <f t="shared" si="10"/>
        <v>26</v>
      </c>
      <c r="E51" s="99">
        <f t="shared" si="10"/>
        <v>43</v>
      </c>
      <c r="F51" s="43">
        <f t="shared" si="10"/>
        <v>81</v>
      </c>
      <c r="G51" s="43">
        <f t="shared" si="10"/>
        <v>11</v>
      </c>
      <c r="H51" s="99">
        <f t="shared" si="10"/>
        <v>35</v>
      </c>
      <c r="I51" s="43">
        <f t="shared" si="10"/>
        <v>351</v>
      </c>
      <c r="J51" s="43">
        <f t="shared" si="10"/>
        <v>45</v>
      </c>
      <c r="K51" s="99">
        <f t="shared" si="10"/>
        <v>22</v>
      </c>
      <c r="L51" s="43">
        <f t="shared" si="10"/>
        <v>123</v>
      </c>
      <c r="M51" s="43">
        <f t="shared" si="10"/>
        <v>25</v>
      </c>
      <c r="N51" s="97">
        <f t="shared" si="2"/>
        <v>954</v>
      </c>
      <c r="O51" s="84"/>
      <c r="P51" s="84"/>
      <c r="Q51" s="98">
        <f t="shared" si="3"/>
        <v>0.70833333333333326</v>
      </c>
      <c r="R51" s="106">
        <f t="shared" si="4"/>
        <v>218</v>
      </c>
      <c r="S51" s="106">
        <f t="shared" si="5"/>
        <v>135</v>
      </c>
      <c r="T51" s="106">
        <f t="shared" si="6"/>
        <v>431</v>
      </c>
      <c r="U51" s="106">
        <f t="shared" si="7"/>
        <v>170</v>
      </c>
      <c r="V51" s="106">
        <f t="shared" si="8"/>
        <v>954</v>
      </c>
      <c r="W51" s="107">
        <f>W50+1</f>
        <v>7</v>
      </c>
    </row>
    <row r="52" spans="1:23" s="83" customFormat="1">
      <c r="A52" s="94">
        <f t="shared" si="9"/>
        <v>0.71874999999999989</v>
      </c>
      <c r="B52" s="99">
        <f t="shared" si="10"/>
        <v>73</v>
      </c>
      <c r="C52" s="43">
        <f t="shared" si="10"/>
        <v>72</v>
      </c>
      <c r="D52" s="43">
        <f t="shared" si="10"/>
        <v>26</v>
      </c>
      <c r="E52" s="99">
        <f t="shared" si="10"/>
        <v>35</v>
      </c>
      <c r="F52" s="43">
        <f t="shared" si="10"/>
        <v>79</v>
      </c>
      <c r="G52" s="43">
        <f t="shared" si="10"/>
        <v>30</v>
      </c>
      <c r="H52" s="99">
        <f t="shared" si="10"/>
        <v>41</v>
      </c>
      <c r="I52" s="43">
        <f t="shared" si="10"/>
        <v>358</v>
      </c>
      <c r="J52" s="43">
        <f t="shared" si="10"/>
        <v>45</v>
      </c>
      <c r="K52" s="99">
        <f t="shared" si="10"/>
        <v>25</v>
      </c>
      <c r="L52" s="43">
        <f t="shared" si="10"/>
        <v>123</v>
      </c>
      <c r="M52" s="43">
        <f t="shared" si="10"/>
        <v>18</v>
      </c>
      <c r="N52" s="97">
        <f t="shared" si="2"/>
        <v>925</v>
      </c>
      <c r="O52" s="84"/>
      <c r="P52" s="84"/>
      <c r="Q52" s="98">
        <f t="shared" si="3"/>
        <v>0.71874999999999989</v>
      </c>
      <c r="R52" s="106">
        <f t="shared" si="4"/>
        <v>171</v>
      </c>
      <c r="S52" s="106">
        <f t="shared" si="5"/>
        <v>144</v>
      </c>
      <c r="T52" s="106">
        <f t="shared" si="6"/>
        <v>444</v>
      </c>
      <c r="U52" s="106">
        <f t="shared" si="7"/>
        <v>166</v>
      </c>
      <c r="V52" s="106">
        <f t="shared" si="8"/>
        <v>925</v>
      </c>
    </row>
    <row r="53" spans="1:23" s="83" customFormat="1">
      <c r="A53" s="94">
        <f t="shared" si="9"/>
        <v>0.72916666666666652</v>
      </c>
      <c r="B53" s="99">
        <f t="shared" si="10"/>
        <v>73</v>
      </c>
      <c r="C53" s="43">
        <f t="shared" si="10"/>
        <v>84</v>
      </c>
      <c r="D53" s="43">
        <f t="shared" si="10"/>
        <v>15</v>
      </c>
      <c r="E53" s="99">
        <f t="shared" si="10"/>
        <v>35</v>
      </c>
      <c r="F53" s="43">
        <f t="shared" si="10"/>
        <v>50</v>
      </c>
      <c r="G53" s="43">
        <f t="shared" si="10"/>
        <v>11</v>
      </c>
      <c r="H53" s="99">
        <f t="shared" si="10"/>
        <v>25</v>
      </c>
      <c r="I53" s="43">
        <f t="shared" si="10"/>
        <v>300</v>
      </c>
      <c r="J53" s="43">
        <f t="shared" si="10"/>
        <v>36</v>
      </c>
      <c r="K53" s="99">
        <f t="shared" si="10"/>
        <v>25</v>
      </c>
      <c r="L53" s="43">
        <f t="shared" si="10"/>
        <v>108</v>
      </c>
      <c r="M53" s="43">
        <f t="shared" si="10"/>
        <v>11</v>
      </c>
      <c r="N53" s="97">
        <f t="shared" si="2"/>
        <v>773</v>
      </c>
      <c r="O53" s="84"/>
      <c r="P53" s="84"/>
      <c r="Q53" s="98">
        <f t="shared" si="3"/>
        <v>0.72916666666666652</v>
      </c>
      <c r="R53" s="106">
        <f t="shared" si="4"/>
        <v>172</v>
      </c>
      <c r="S53" s="106">
        <f t="shared" si="5"/>
        <v>96</v>
      </c>
      <c r="T53" s="106">
        <f t="shared" si="6"/>
        <v>361</v>
      </c>
      <c r="U53" s="106">
        <f t="shared" si="7"/>
        <v>144</v>
      </c>
      <c r="V53" s="106">
        <f t="shared" si="8"/>
        <v>773</v>
      </c>
    </row>
    <row r="54" spans="1:23" s="83" customFormat="1">
      <c r="A54" s="94">
        <f t="shared" si="9"/>
        <v>0.73958333333333315</v>
      </c>
      <c r="B54" s="99">
        <f t="shared" si="10"/>
        <v>77</v>
      </c>
      <c r="C54" s="43">
        <f t="shared" si="10"/>
        <v>81</v>
      </c>
      <c r="D54" s="43">
        <f t="shared" si="10"/>
        <v>39</v>
      </c>
      <c r="E54" s="99">
        <f t="shared" si="10"/>
        <v>34</v>
      </c>
      <c r="F54" s="43">
        <f t="shared" si="10"/>
        <v>62</v>
      </c>
      <c r="G54" s="43">
        <f t="shared" si="10"/>
        <v>18</v>
      </c>
      <c r="H54" s="99">
        <f t="shared" si="10"/>
        <v>35</v>
      </c>
      <c r="I54" s="43">
        <f t="shared" si="10"/>
        <v>341</v>
      </c>
      <c r="J54" s="43">
        <f t="shared" si="10"/>
        <v>30</v>
      </c>
      <c r="K54" s="99">
        <f t="shared" si="10"/>
        <v>32</v>
      </c>
      <c r="L54" s="43">
        <f t="shared" si="10"/>
        <v>174</v>
      </c>
      <c r="M54" s="43">
        <f t="shared" si="10"/>
        <v>44</v>
      </c>
      <c r="N54" s="97">
        <f t="shared" si="2"/>
        <v>967</v>
      </c>
      <c r="O54" s="84"/>
      <c r="P54" s="84"/>
      <c r="Q54" s="98">
        <f t="shared" si="3"/>
        <v>0.73958333333333315</v>
      </c>
      <c r="R54" s="106">
        <f t="shared" si="4"/>
        <v>197</v>
      </c>
      <c r="S54" s="106">
        <f t="shared" si="5"/>
        <v>114</v>
      </c>
      <c r="T54" s="106">
        <f t="shared" si="6"/>
        <v>406</v>
      </c>
      <c r="U54" s="106">
        <f t="shared" si="7"/>
        <v>250</v>
      </c>
      <c r="V54" s="106">
        <f t="shared" si="8"/>
        <v>967</v>
      </c>
    </row>
    <row r="55" spans="1:23" s="83" customFormat="1">
      <c r="A55" s="94">
        <f t="shared" si="9"/>
        <v>0.74999999999999978</v>
      </c>
      <c r="B55" s="99">
        <f t="shared" si="10"/>
        <v>71</v>
      </c>
      <c r="C55" s="43">
        <f t="shared" si="10"/>
        <v>70</v>
      </c>
      <c r="D55" s="43">
        <f t="shared" si="10"/>
        <v>25</v>
      </c>
      <c r="E55" s="99">
        <f t="shared" si="10"/>
        <v>25</v>
      </c>
      <c r="F55" s="43">
        <f t="shared" si="10"/>
        <v>63</v>
      </c>
      <c r="G55" s="43">
        <f t="shared" si="10"/>
        <v>7</v>
      </c>
      <c r="H55" s="99">
        <f t="shared" si="10"/>
        <v>16</v>
      </c>
      <c r="I55" s="43">
        <f t="shared" si="10"/>
        <v>248</v>
      </c>
      <c r="J55" s="43">
        <f t="shared" si="10"/>
        <v>16</v>
      </c>
      <c r="K55" s="99">
        <f t="shared" si="10"/>
        <v>5</v>
      </c>
      <c r="L55" s="43">
        <f t="shared" si="10"/>
        <v>121</v>
      </c>
      <c r="M55" s="43">
        <f t="shared" si="10"/>
        <v>17</v>
      </c>
      <c r="N55" s="97">
        <f t="shared" si="2"/>
        <v>684</v>
      </c>
      <c r="O55" s="84"/>
      <c r="P55" s="84"/>
      <c r="Q55" s="98">
        <f t="shared" si="3"/>
        <v>0.74999999999999978</v>
      </c>
      <c r="R55" s="106">
        <f t="shared" si="4"/>
        <v>166</v>
      </c>
      <c r="S55" s="106">
        <f t="shared" si="5"/>
        <v>95</v>
      </c>
      <c r="T55" s="106">
        <f t="shared" si="6"/>
        <v>280</v>
      </c>
      <c r="U55" s="106">
        <f t="shared" si="7"/>
        <v>143</v>
      </c>
      <c r="V55" s="106">
        <f t="shared" si="8"/>
        <v>684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">
        <v>17</v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0.73958333333333315</v>
      </c>
      <c r="R61" s="106">
        <f>MAX(INDEX(R48:V59,W48,1),INDEX(R48:V59,W49,1),INDEX(R48:V59,W50,1),INDEX(R48:V59,W51,1))</f>
        <v>218</v>
      </c>
      <c r="S61" s="106">
        <f>MAX(INDEX(R48:V59,W48,2),INDEX(R48:V59,W49,2),INDEX(R48:V59,W50,2),INDEX(R48:V59,W51,2))</f>
        <v>144</v>
      </c>
      <c r="T61" s="106">
        <f>MAX(INDEX(R48:V59,W48,3),INDEX(R48:V59,W49,3),INDEX(R48:V59,W50,3),INDEX(R48:V59,W51,3))</f>
        <v>444</v>
      </c>
      <c r="U61" s="106">
        <f>MAX(INDEX(R48:V59,W48,4),INDEX(R48:V59,W49,4),INDEX(R48:V59,W50,4),INDEX(R48:V59,W51,4))</f>
        <v>250</v>
      </c>
      <c r="V61" s="106">
        <f>MAX(INDEX(V48:V59,W48,1),INDEX(V48:V59,W49,1),INDEX(V48:V59,W50,1),INDEX(V48:V59,W51,1))</f>
        <v>967</v>
      </c>
      <c r="W61" s="83">
        <f>MATCH(V61,V48:V59,0)</f>
        <v>7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0.66666666666666674</v>
      </c>
      <c r="B63" s="99">
        <f t="shared" ref="B63:M63" si="11">IF(B33="","",IF($A$63&lt;&gt;"",SUM(B48:B51),""))</f>
        <v>297</v>
      </c>
      <c r="C63" s="43">
        <f t="shared" si="11"/>
        <v>329</v>
      </c>
      <c r="D63" s="43">
        <f t="shared" si="11"/>
        <v>85</v>
      </c>
      <c r="E63" s="99">
        <f t="shared" si="11"/>
        <v>162</v>
      </c>
      <c r="F63" s="43">
        <f t="shared" si="11"/>
        <v>319</v>
      </c>
      <c r="G63" s="43">
        <f t="shared" si="11"/>
        <v>60</v>
      </c>
      <c r="H63" s="99">
        <f t="shared" si="11"/>
        <v>151</v>
      </c>
      <c r="I63" s="43">
        <f t="shared" si="11"/>
        <v>1136</v>
      </c>
      <c r="J63" s="43">
        <f t="shared" si="11"/>
        <v>136</v>
      </c>
      <c r="K63" s="99">
        <f t="shared" si="11"/>
        <v>74</v>
      </c>
      <c r="L63" s="43">
        <f t="shared" si="11"/>
        <v>514</v>
      </c>
      <c r="M63" s="43">
        <f t="shared" si="11"/>
        <v>83</v>
      </c>
      <c r="N63" s="97">
        <f t="shared" ref="N63:N71" si="12">IF(SUM(B63:M63)&lt;=0,"",SUM(B63:M63))</f>
        <v>3346</v>
      </c>
      <c r="O63" s="84"/>
      <c r="P63" s="84"/>
      <c r="Q63" s="98">
        <f t="shared" ref="Q63:Q71" si="13">$A63</f>
        <v>0.66666666666666674</v>
      </c>
      <c r="R63" s="83">
        <f>MAX(N63:N71)</f>
        <v>3619</v>
      </c>
    </row>
    <row r="64" spans="1:23" s="76" customFormat="1">
      <c r="A64" s="94">
        <f t="shared" ref="A64:A71" si="14">IF(A63="","",IF(A52="","",A63+15/1440))</f>
        <v>0.67708333333333337</v>
      </c>
      <c r="B64" s="99">
        <f>IF($A$64="","",IF(B52&lt;&gt;"",SUM(B49:B52),""))</f>
        <v>286</v>
      </c>
      <c r="C64" s="43">
        <f>IF($A$64="","",IF(C52&lt;&gt;"",SUM(C49:C52),""))</f>
        <v>321</v>
      </c>
      <c r="D64" s="43">
        <f t="shared" ref="D64:M64" si="15">IF($A$64="","",IF(D52&lt;&gt;"",SUM(D49:D52),""))</f>
        <v>86</v>
      </c>
      <c r="E64" s="99">
        <f t="shared" si="15"/>
        <v>157</v>
      </c>
      <c r="F64" s="43">
        <f t="shared" si="15"/>
        <v>319</v>
      </c>
      <c r="G64" s="43">
        <f t="shared" si="15"/>
        <v>75</v>
      </c>
      <c r="H64" s="99">
        <f t="shared" si="15"/>
        <v>145</v>
      </c>
      <c r="I64" s="43">
        <f t="shared" si="15"/>
        <v>1188</v>
      </c>
      <c r="J64" s="43">
        <f t="shared" si="15"/>
        <v>151</v>
      </c>
      <c r="K64" s="99">
        <f t="shared" si="15"/>
        <v>90</v>
      </c>
      <c r="L64" s="43">
        <f t="shared" si="15"/>
        <v>497</v>
      </c>
      <c r="M64" s="43">
        <f t="shared" si="15"/>
        <v>84</v>
      </c>
      <c r="N64" s="97">
        <f t="shared" si="12"/>
        <v>3399</v>
      </c>
      <c r="O64" s="84"/>
      <c r="P64" s="84"/>
      <c r="Q64" s="98">
        <f t="shared" si="13"/>
        <v>0.67708333333333337</v>
      </c>
      <c r="R64" s="83">
        <f>MATCH(R63,N63:N71,0)</f>
        <v>4</v>
      </c>
      <c r="S64" s="98">
        <f>INDEX(Q63:Q71,R64,1)</f>
        <v>0.69791666666666663</v>
      </c>
      <c r="T64" s="83"/>
    </row>
    <row r="65" spans="1:20" s="83" customFormat="1">
      <c r="A65" s="94">
        <f t="shared" si="14"/>
        <v>0.6875</v>
      </c>
      <c r="B65" s="99">
        <f>IF($A$65="","",IF(B53&lt;&gt;"",SUM(B50:B53),""))</f>
        <v>278</v>
      </c>
      <c r="C65" s="43">
        <f>IF($A$65="","",IF(C53&lt;&gt;"",SUM(C50:C53),""))</f>
        <v>316</v>
      </c>
      <c r="D65" s="43">
        <f t="shared" ref="D65:M65" si="16">IF($A$65="","",IF(D53&lt;&gt;"",SUM(D50:D53),""))</f>
        <v>87</v>
      </c>
      <c r="E65" s="99">
        <f t="shared" si="16"/>
        <v>150</v>
      </c>
      <c r="F65" s="43">
        <f t="shared" si="16"/>
        <v>283</v>
      </c>
      <c r="G65" s="43">
        <f t="shared" si="16"/>
        <v>68</v>
      </c>
      <c r="H65" s="99">
        <f t="shared" si="16"/>
        <v>131</v>
      </c>
      <c r="I65" s="43">
        <f t="shared" si="16"/>
        <v>1209</v>
      </c>
      <c r="J65" s="43">
        <f t="shared" si="16"/>
        <v>156</v>
      </c>
      <c r="K65" s="99">
        <f t="shared" si="16"/>
        <v>83</v>
      </c>
      <c r="L65" s="43">
        <f t="shared" si="16"/>
        <v>462</v>
      </c>
      <c r="M65" s="43">
        <f t="shared" si="16"/>
        <v>69</v>
      </c>
      <c r="N65" s="97">
        <f t="shared" si="12"/>
        <v>3292</v>
      </c>
      <c r="O65" s="84"/>
      <c r="P65" s="84"/>
      <c r="Q65" s="98">
        <f t="shared" si="13"/>
        <v>0.6875</v>
      </c>
    </row>
    <row r="66" spans="1:20" s="83" customFormat="1">
      <c r="A66" s="94">
        <f t="shared" si="14"/>
        <v>0.69791666666666663</v>
      </c>
      <c r="B66" s="99">
        <f>IF($A$64="","",IF(B54&lt;&gt;"",SUM(B51:B54),""))</f>
        <v>307</v>
      </c>
      <c r="C66" s="43">
        <f>IF($A$64="","",IF(C54&lt;&gt;"",SUM(C51:C54),""))</f>
        <v>345</v>
      </c>
      <c r="D66" s="43">
        <f t="shared" ref="D66:M66" si="17">IF($A$64="","",IF(D54&lt;&gt;"",SUM(D51:D54),""))</f>
        <v>106</v>
      </c>
      <c r="E66" s="99">
        <f t="shared" si="17"/>
        <v>147</v>
      </c>
      <c r="F66" s="43">
        <f t="shared" si="17"/>
        <v>272</v>
      </c>
      <c r="G66" s="43">
        <f t="shared" si="17"/>
        <v>70</v>
      </c>
      <c r="H66" s="99">
        <f t="shared" si="17"/>
        <v>136</v>
      </c>
      <c r="I66" s="43">
        <f t="shared" si="17"/>
        <v>1350</v>
      </c>
      <c r="J66" s="43">
        <f t="shared" si="17"/>
        <v>156</v>
      </c>
      <c r="K66" s="99">
        <f t="shared" si="17"/>
        <v>104</v>
      </c>
      <c r="L66" s="43">
        <f t="shared" si="17"/>
        <v>528</v>
      </c>
      <c r="M66" s="43">
        <f t="shared" si="17"/>
        <v>98</v>
      </c>
      <c r="N66" s="97">
        <f>IF(SUM(B66:M66)&lt;=0,"",SUM(B66:M66))</f>
        <v>3619</v>
      </c>
      <c r="O66" s="84"/>
      <c r="P66" s="84"/>
      <c r="Q66" s="98">
        <f t="shared" si="13"/>
        <v>0.69791666666666663</v>
      </c>
    </row>
    <row r="67" spans="1:20" s="83" customFormat="1">
      <c r="A67" s="94">
        <f t="shared" si="14"/>
        <v>0.70833333333333326</v>
      </c>
      <c r="B67" s="99">
        <f>IF($A$65="","",IF(B55&lt;&gt;"",SUM(B52:B55),""))</f>
        <v>294</v>
      </c>
      <c r="C67" s="43">
        <f>IF($A$65="","",IF(C55&lt;&gt;"",SUM(C52:C55),""))</f>
        <v>307</v>
      </c>
      <c r="D67" s="43">
        <f t="shared" ref="D67:M67" si="18">IF($A$65="","",IF(D55&lt;&gt;"",SUM(D52:D55),""))</f>
        <v>105</v>
      </c>
      <c r="E67" s="99">
        <f t="shared" si="18"/>
        <v>129</v>
      </c>
      <c r="F67" s="43">
        <f t="shared" si="18"/>
        <v>254</v>
      </c>
      <c r="G67" s="43">
        <f t="shared" si="18"/>
        <v>66</v>
      </c>
      <c r="H67" s="99">
        <f t="shared" si="18"/>
        <v>117</v>
      </c>
      <c r="I67" s="43">
        <f t="shared" si="18"/>
        <v>1247</v>
      </c>
      <c r="J67" s="43">
        <f t="shared" si="18"/>
        <v>127</v>
      </c>
      <c r="K67" s="99">
        <f t="shared" si="18"/>
        <v>87</v>
      </c>
      <c r="L67" s="43">
        <f t="shared" si="18"/>
        <v>526</v>
      </c>
      <c r="M67" s="43">
        <f t="shared" si="18"/>
        <v>90</v>
      </c>
      <c r="N67" s="97">
        <f>IF(SUM(B67:M67)&lt;=0,"",SUM(B67:M67))</f>
        <v>3349</v>
      </c>
      <c r="O67" s="84"/>
      <c r="P67" s="84"/>
      <c r="Q67" s="98">
        <f t="shared" si="13"/>
        <v>0.70833333333333326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">
        <v>17</v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506</v>
      </c>
      <c r="I76" s="56">
        <f>IF(D33="",0,INDEX($B$63:$M$71,$R$64,3))+IF(E33="",0,INDEX($B$63:$M$71,$R$64,4))+IF(L33="",0,INDEX($B$63:$M$71,$R$64,11))</f>
        <v>781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758</v>
      </c>
      <c r="F77" s="56">
        <f>IF(E33="",0,INDEX($B$63:$M$71,$R$64,4))+IF(F33="",0,INDEX($B$63:$M$71,$R$64,5))+IF(G33="",0,INDEX($B$63:$M$71,$R$64,6))</f>
        <v>489</v>
      </c>
      <c r="I77" s="56">
        <f>IF(H33="",0,INDEX($B$63:$M$71,$R$64,7))+IF(I33="",0,INDEX($B$63:$M$71,$R$64,8))+IF(J33="",0,INDEX($B$63:$M$71,$R$64,9))</f>
        <v>1642</v>
      </c>
      <c r="L77" s="56">
        <f>IF(K33="",0,INDEX($B$63:$M$71,$R$64,10))+IF(L33="",0,INDEX($B$63:$M$71,$R$64,11))+IF(M33="",0,INDEX($B$63:$M$71,$R$64,12))</f>
        <v>730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605</v>
      </c>
      <c r="L78" s="56">
        <f>IF(B33="",0,INDEX($B$63:$M$71,$R$64,1))+IF(G33="",0,INDEX($B$63:$M$71,$R$64,6))+IF(I33="",0,INDEX($B$63:$M$71,$R$64,8))</f>
        <v>1727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topLeftCell="A28" workbookViewId="0">
      <selection activeCell="K35" sqref="K35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53</v>
      </c>
      <c r="D4" s="8"/>
      <c r="E4" s="8"/>
      <c r="F4" s="8"/>
      <c r="G4" s="8"/>
      <c r="H4" s="8"/>
      <c r="I4" s="9" t="s">
        <v>3</v>
      </c>
      <c r="J4" s="9"/>
      <c r="K4" s="10">
        <v>0.66666666666666663</v>
      </c>
      <c r="L4" s="11" t="s">
        <v>4</v>
      </c>
      <c r="M4" s="12">
        <v>0.75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54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48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0.67708333333333337</v>
      </c>
      <c r="D7" s="39"/>
      <c r="E7" s="40" t="s">
        <v>4</v>
      </c>
      <c r="F7" s="38">
        <f>C7+60/1440</f>
        <v>0.71875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0.67708333333333337</v>
      </c>
      <c r="D8" s="39"/>
      <c r="E8" s="40" t="s">
        <v>4</v>
      </c>
      <c r="F8" s="38">
        <f>Q61</f>
        <v>0.6875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Sparks</v>
      </c>
      <c r="E9" s="44"/>
      <c r="F9" s="45"/>
      <c r="G9" s="39"/>
      <c r="H9" s="37"/>
      <c r="I9" s="37"/>
      <c r="J9" s="46" t="s">
        <v>11</v>
      </c>
      <c r="K9" s="47" t="e">
        <f>IF(L29="N/A","N/A",L77/(U61*4))</f>
        <v>#DIV/0!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 t="str">
        <f>IF(L29="N/A","N/A",IF(C29="N/A","N/A",INDEX($B$63:$M$71,$R$64,12)))</f>
        <v/>
      </c>
      <c r="D11" s="50">
        <f>IF(L29="N/A","N/A",IF(I29="N/A","N/A",INDEX($B$63:$M$71,$R$64,11)))</f>
        <v>0</v>
      </c>
      <c r="E11" s="51" t="str">
        <f>IF(L29="N/A","N/A",IF(F29="N/A","N/A",INDEX($B$63:$M$71,$R$64,10)))</f>
        <v/>
      </c>
      <c r="F11" s="37"/>
      <c r="G11" s="37"/>
      <c r="H11" s="37"/>
      <c r="I11" s="15"/>
      <c r="J11" s="52">
        <f>IF(L29="N/A","N/A",L77)</f>
        <v>0</v>
      </c>
      <c r="K11" s="52">
        <f>IF(L29="N/A","N/A",L78)</f>
        <v>2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Prater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0.5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 t="str">
        <f>IF(C29="N/A","N/A",IF(L29="N/A","N/A",INDEX($B$63:$M$71,$R$64,1)))</f>
        <v/>
      </c>
      <c r="C15" s="37"/>
      <c r="D15" s="37"/>
      <c r="E15" s="37"/>
      <c r="F15" s="56" t="str">
        <f>IF(F29="N/A","N/A",IF(L29="N/A","N/A",INDEX($B$63:$M$71,$R$64,6)))</f>
        <v/>
      </c>
      <c r="G15" s="37"/>
      <c r="H15" s="57">
        <f>IF(C29="N/A","N/A",C76)</f>
        <v>4</v>
      </c>
      <c r="I15" s="37"/>
      <c r="J15" s="37"/>
      <c r="K15" s="37"/>
      <c r="L15" s="15"/>
      <c r="M15" s="58">
        <f>IF(F29="N/A","N/A",F77)</f>
        <v>4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2</v>
      </c>
      <c r="C17" s="37"/>
      <c r="D17" s="37"/>
      <c r="E17" s="37"/>
      <c r="F17" s="61">
        <f>IF(F29="N/A","N/A",IF(C29="N/A","N/A",INDEX($B$63:$M$71,$R$64,5)))</f>
        <v>4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8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 t="str">
        <f>IF(C29="N/A","N/A",IF(I29="N/A","N/A",INDEX($B$63:$M$71,$R$64,3)))</f>
        <v/>
      </c>
      <c r="C19" s="37"/>
      <c r="D19" s="37"/>
      <c r="E19" s="37"/>
      <c r="F19" s="56" t="str">
        <f>IF(F29="N/A","N/A",IF(I29="N/A","N/A",INDEX($B$63:$M$71,$R$64,4)))</f>
        <v/>
      </c>
      <c r="G19" s="37"/>
      <c r="H19" s="57">
        <f>IF(C29="N/A","N/A",C77)</f>
        <v>2</v>
      </c>
      <c r="I19" s="37"/>
      <c r="J19" s="37"/>
      <c r="K19" s="37"/>
      <c r="L19" s="15"/>
      <c r="M19" s="58">
        <f>IF(F29="N/A","N/A",F78)</f>
        <v>2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Prater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1</v>
      </c>
      <c r="N22" s="62"/>
      <c r="P22" s="5" t="s">
        <v>17</v>
      </c>
      <c r="Q22" s="42"/>
      <c r="R22" s="42"/>
    </row>
    <row r="23" spans="1:28" ht="30" customHeight="1">
      <c r="A23" s="48"/>
      <c r="B23" s="37"/>
      <c r="C23" s="49" t="str">
        <f>IF(I29="N/A","N/A",IF(C29="N/A","N/A",INDEX($B$63:$M$71,$R$64,7)))</f>
        <v/>
      </c>
      <c r="D23" s="50">
        <f>IF(I29="N/A","N/A",IF(L29="N/A","N/A",INDEX($B$63:$M$71,$R$64,8)))</f>
        <v>2</v>
      </c>
      <c r="E23" s="51" t="str">
        <f>IF(I29="N/A","N/A",IF(F29="N/A","N/A",INDEX($B$63:$M$71,$R$64,9)))</f>
        <v/>
      </c>
      <c r="F23" s="15"/>
      <c r="G23" s="65"/>
      <c r="H23" s="37"/>
      <c r="I23" s="37"/>
      <c r="J23" s="66">
        <f>IF(I29="N/A","N/A",I76)</f>
        <v>0</v>
      </c>
      <c r="K23" s="66">
        <f>IF(I29="N/A","N/A",I77)</f>
        <v>2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Sparks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0.25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0.5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51</v>
      </c>
      <c r="D29" s="73"/>
      <c r="E29" s="71"/>
      <c r="F29" s="72" t="s">
        <v>51</v>
      </c>
      <c r="G29" s="73"/>
      <c r="H29" s="71"/>
      <c r="I29" s="72" t="s">
        <v>52</v>
      </c>
      <c r="J29" s="73"/>
      <c r="K29" s="71"/>
      <c r="L29" s="72" t="s">
        <v>52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0.67708333333333337</v>
      </c>
      <c r="B33" s="95"/>
      <c r="C33" s="96">
        <v>0</v>
      </c>
      <c r="D33" s="96"/>
      <c r="E33" s="95"/>
      <c r="F33" s="96">
        <v>0</v>
      </c>
      <c r="G33" s="96"/>
      <c r="H33" s="95"/>
      <c r="I33" s="96">
        <v>0</v>
      </c>
      <c r="J33" s="96"/>
      <c r="K33" s="95"/>
      <c r="L33" s="96">
        <v>0</v>
      </c>
      <c r="M33" s="96"/>
      <c r="N33" s="97" t="str">
        <f t="shared" ref="N33:N40" si="0">IF(SUM(B33:M33)&lt;=0,"",SUM(B33:M33))</f>
        <v/>
      </c>
      <c r="O33" s="84"/>
      <c r="P33" s="84"/>
      <c r="Q33" s="98"/>
    </row>
    <row r="34" spans="1:28" s="83" customFormat="1">
      <c r="A34" s="94">
        <v>0.6875</v>
      </c>
      <c r="B34" s="95"/>
      <c r="C34" s="96">
        <v>1</v>
      </c>
      <c r="D34" s="96"/>
      <c r="E34" s="95"/>
      <c r="F34" s="96">
        <v>1</v>
      </c>
      <c r="G34" s="96"/>
      <c r="H34" s="95"/>
      <c r="I34" s="96">
        <v>2</v>
      </c>
      <c r="J34" s="96"/>
      <c r="K34" s="95"/>
      <c r="L34" s="96">
        <v>0</v>
      </c>
      <c r="M34" s="96"/>
      <c r="N34" s="97">
        <f t="shared" si="0"/>
        <v>4</v>
      </c>
      <c r="O34" s="84"/>
      <c r="P34" s="84"/>
      <c r="Q34" s="98"/>
    </row>
    <row r="35" spans="1:28" s="83" customFormat="1">
      <c r="A35" s="94">
        <v>0.69791666666666663</v>
      </c>
      <c r="B35" s="95"/>
      <c r="C35" s="96">
        <v>2</v>
      </c>
      <c r="D35" s="96"/>
      <c r="E35" s="95"/>
      <c r="F35" s="96">
        <v>2</v>
      </c>
      <c r="G35" s="96"/>
      <c r="H35" s="95"/>
      <c r="I35" s="96">
        <v>2</v>
      </c>
      <c r="J35" s="96"/>
      <c r="K35" s="95"/>
      <c r="L35" s="96">
        <v>0</v>
      </c>
      <c r="M35" s="96"/>
      <c r="N35" s="97">
        <f t="shared" si="0"/>
        <v>6</v>
      </c>
      <c r="O35" s="84"/>
      <c r="P35" s="84"/>
      <c r="Q35" s="98"/>
    </row>
    <row r="36" spans="1:28" s="76" customFormat="1">
      <c r="A36" s="94">
        <v>0.70833333333333304</v>
      </c>
      <c r="B36" s="95"/>
      <c r="C36" s="96">
        <v>2</v>
      </c>
      <c r="D36" s="96"/>
      <c r="E36" s="95"/>
      <c r="F36" s="96">
        <v>3</v>
      </c>
      <c r="G36" s="96"/>
      <c r="H36" s="95"/>
      <c r="I36" s="96">
        <v>2</v>
      </c>
      <c r="J36" s="96"/>
      <c r="K36" s="95"/>
      <c r="L36" s="96">
        <v>0</v>
      </c>
      <c r="M36" s="96"/>
      <c r="N36" s="97">
        <f t="shared" si="0"/>
        <v>7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0.71875</v>
      </c>
      <c r="B37" s="95"/>
      <c r="C37" s="96">
        <v>2</v>
      </c>
      <c r="D37" s="96"/>
      <c r="E37" s="95"/>
      <c r="F37" s="96">
        <v>4</v>
      </c>
      <c r="G37" s="96"/>
      <c r="H37" s="95"/>
      <c r="I37" s="96">
        <v>2</v>
      </c>
      <c r="J37" s="96"/>
      <c r="K37" s="95"/>
      <c r="L37" s="96">
        <v>0</v>
      </c>
      <c r="M37" s="96"/>
      <c r="N37" s="97">
        <f t="shared" si="0"/>
        <v>8</v>
      </c>
      <c r="O37" s="84"/>
      <c r="P37" s="84"/>
      <c r="Q37" s="98"/>
    </row>
    <row r="38" spans="1:28" s="83" customFormat="1">
      <c r="A38" s="94">
        <v>0.72916666666666696</v>
      </c>
      <c r="B38" s="95"/>
      <c r="C38" s="96">
        <v>2</v>
      </c>
      <c r="D38" s="96"/>
      <c r="E38" s="95"/>
      <c r="F38" s="96">
        <v>5</v>
      </c>
      <c r="G38" s="96"/>
      <c r="H38" s="95"/>
      <c r="I38" s="96">
        <v>2</v>
      </c>
      <c r="J38" s="96"/>
      <c r="K38" s="95"/>
      <c r="L38" s="96">
        <v>0</v>
      </c>
      <c r="M38" s="96"/>
      <c r="N38" s="97">
        <f t="shared" si="0"/>
        <v>9</v>
      </c>
      <c r="O38" s="84"/>
      <c r="P38" s="84"/>
      <c r="Q38" s="98"/>
    </row>
    <row r="39" spans="1:28" s="83" customFormat="1">
      <c r="A39" s="94">
        <v>0.73958333333333304</v>
      </c>
      <c r="B39" s="95"/>
      <c r="C39" s="96">
        <v>3</v>
      </c>
      <c r="D39" s="96"/>
      <c r="E39" s="95"/>
      <c r="F39" s="96">
        <v>5</v>
      </c>
      <c r="G39" s="96"/>
      <c r="H39" s="95"/>
      <c r="I39" s="96">
        <v>3</v>
      </c>
      <c r="J39" s="96"/>
      <c r="K39" s="95"/>
      <c r="L39" s="96">
        <v>1</v>
      </c>
      <c r="M39" s="96"/>
      <c r="N39" s="97">
        <f t="shared" si="0"/>
        <v>12</v>
      </c>
      <c r="O39" s="84"/>
      <c r="P39" s="84"/>
      <c r="Q39" s="98" t="s">
        <v>17</v>
      </c>
    </row>
    <row r="40" spans="1:28" s="83" customFormat="1">
      <c r="A40" s="94">
        <v>0.75</v>
      </c>
      <c r="B40" s="95"/>
      <c r="C40" s="96">
        <v>3</v>
      </c>
      <c r="D40" s="96"/>
      <c r="E40" s="95"/>
      <c r="F40" s="96">
        <v>5</v>
      </c>
      <c r="G40" s="96"/>
      <c r="H40" s="95"/>
      <c r="I40" s="96">
        <v>4</v>
      </c>
      <c r="J40" s="96"/>
      <c r="K40" s="95"/>
      <c r="L40" s="96">
        <v>2</v>
      </c>
      <c r="M40" s="96"/>
      <c r="N40" s="97">
        <f t="shared" si="0"/>
        <v>14</v>
      </c>
      <c r="O40" s="84"/>
      <c r="P40" s="84"/>
      <c r="Q40" s="98"/>
    </row>
    <row r="41" spans="1:28" s="83" customFormat="1">
      <c r="A41" s="94"/>
      <c r="B41" s="99"/>
      <c r="C41" s="43" t="s">
        <v>17</v>
      </c>
      <c r="D41" s="43"/>
      <c r="E41" s="99"/>
      <c r="F41" s="43"/>
      <c r="G41" s="43"/>
      <c r="H41" s="99"/>
      <c r="I41" s="43"/>
      <c r="J41" s="43"/>
      <c r="K41" s="99"/>
      <c r="L41" s="43"/>
      <c r="M41" s="43"/>
      <c r="N41" s="97"/>
      <c r="O41" s="84"/>
      <c r="P41" s="84"/>
      <c r="Q41" s="98"/>
    </row>
    <row r="42" spans="1:28" s="83" customFormat="1">
      <c r="A42" s="94"/>
      <c r="B42" s="99"/>
      <c r="C42" s="43"/>
      <c r="D42" s="43"/>
      <c r="E42" s="99"/>
      <c r="F42" s="43"/>
      <c r="G42" s="43"/>
      <c r="H42" s="99"/>
      <c r="I42" s="43"/>
      <c r="J42" s="43"/>
      <c r="K42" s="99"/>
      <c r="L42" s="43"/>
      <c r="M42" s="43"/>
      <c r="N42" s="97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0.66666666666666674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0.67708333333333337</v>
      </c>
      <c r="B48" s="99" t="str">
        <f>IF(B33="","",B33)</f>
        <v/>
      </c>
      <c r="C48" s="43">
        <f>IF(C33="","",C33)</f>
        <v>0</v>
      </c>
      <c r="D48" s="43" t="str">
        <f>IF(D33="","",D33)</f>
        <v/>
      </c>
      <c r="E48" s="99" t="str">
        <f t="shared" ref="E48:M48" si="1">IF(E33="","",E33)</f>
        <v/>
      </c>
      <c r="F48" s="43">
        <f t="shared" si="1"/>
        <v>0</v>
      </c>
      <c r="G48" s="43" t="str">
        <f t="shared" si="1"/>
        <v/>
      </c>
      <c r="H48" s="99" t="str">
        <f t="shared" si="1"/>
        <v/>
      </c>
      <c r="I48" s="43">
        <f t="shared" si="1"/>
        <v>0</v>
      </c>
      <c r="J48" s="43" t="str">
        <f t="shared" si="1"/>
        <v/>
      </c>
      <c r="K48" s="99" t="str">
        <f t="shared" si="1"/>
        <v/>
      </c>
      <c r="L48" s="43">
        <f t="shared" si="1"/>
        <v>0</v>
      </c>
      <c r="M48" s="43" t="str">
        <f t="shared" si="1"/>
        <v/>
      </c>
      <c r="N48" s="97" t="str">
        <f t="shared" ref="N48:N58" si="2">IF(SUM(B48:M48)&lt;=0,"",SUM(B48:M48))</f>
        <v/>
      </c>
      <c r="O48" s="84"/>
      <c r="P48" s="84"/>
      <c r="Q48" s="98">
        <f t="shared" ref="Q48:Q59" si="3">$A48</f>
        <v>0.67708333333333337</v>
      </c>
      <c r="R48" s="106">
        <f t="shared" ref="R48:R59" si="4">SUM(B48:D48)</f>
        <v>0</v>
      </c>
      <c r="S48" s="106">
        <f t="shared" ref="S48:S59" si="5">SUM(E48:G48)</f>
        <v>0</v>
      </c>
      <c r="T48" s="106">
        <f t="shared" ref="T48:T59" si="6">SUM(H48:J48)</f>
        <v>0</v>
      </c>
      <c r="U48" s="106">
        <f t="shared" ref="U48:U59" si="7">SUM(K48:M48)</f>
        <v>0</v>
      </c>
      <c r="V48" s="106">
        <f t="shared" ref="V48:V59" si="8">SUM(R48:U48)</f>
        <v>0</v>
      </c>
      <c r="W48" s="107">
        <f>MATCH(S64,Q47:Q59,0)</f>
        <v>2</v>
      </c>
    </row>
    <row r="49" spans="1:23" s="83" customFormat="1">
      <c r="A49" s="94">
        <f t="shared" ref="A49:A59" si="9">IF(A34="","",A48+15/1440)</f>
        <v>0.6875</v>
      </c>
      <c r="B49" s="99" t="str">
        <f t="shared" ref="B49:M59" si="10">IF(B34="","",B34-B33)</f>
        <v/>
      </c>
      <c r="C49" s="43">
        <f t="shared" si="10"/>
        <v>1</v>
      </c>
      <c r="D49" s="43" t="str">
        <f t="shared" si="10"/>
        <v/>
      </c>
      <c r="E49" s="99" t="str">
        <f t="shared" si="10"/>
        <v/>
      </c>
      <c r="F49" s="43">
        <f t="shared" si="10"/>
        <v>1</v>
      </c>
      <c r="G49" s="43" t="str">
        <f t="shared" si="10"/>
        <v/>
      </c>
      <c r="H49" s="99" t="str">
        <f t="shared" si="10"/>
        <v/>
      </c>
      <c r="I49" s="43">
        <f t="shared" si="10"/>
        <v>2</v>
      </c>
      <c r="J49" s="43" t="str">
        <f t="shared" si="10"/>
        <v/>
      </c>
      <c r="K49" s="99" t="str">
        <f t="shared" si="10"/>
        <v/>
      </c>
      <c r="L49" s="43">
        <f t="shared" si="10"/>
        <v>0</v>
      </c>
      <c r="M49" s="43" t="str">
        <f t="shared" si="10"/>
        <v/>
      </c>
      <c r="N49" s="97">
        <f t="shared" si="2"/>
        <v>4</v>
      </c>
      <c r="O49" s="84"/>
      <c r="P49" s="84"/>
      <c r="Q49" s="98">
        <f t="shared" si="3"/>
        <v>0.6875</v>
      </c>
      <c r="R49" s="106">
        <f t="shared" si="4"/>
        <v>1</v>
      </c>
      <c r="S49" s="106">
        <f t="shared" si="5"/>
        <v>1</v>
      </c>
      <c r="T49" s="106">
        <f t="shared" si="6"/>
        <v>2</v>
      </c>
      <c r="U49" s="106">
        <f t="shared" si="7"/>
        <v>0</v>
      </c>
      <c r="V49" s="106">
        <f t="shared" si="8"/>
        <v>4</v>
      </c>
      <c r="W49" s="107">
        <f>W48+1</f>
        <v>3</v>
      </c>
    </row>
    <row r="50" spans="1:23" s="83" customFormat="1">
      <c r="A50" s="94">
        <f t="shared" si="9"/>
        <v>0.69791666666666663</v>
      </c>
      <c r="B50" s="99" t="str">
        <f t="shared" si="10"/>
        <v/>
      </c>
      <c r="C50" s="43">
        <f t="shared" si="10"/>
        <v>1</v>
      </c>
      <c r="D50" s="43" t="str">
        <f t="shared" si="10"/>
        <v/>
      </c>
      <c r="E50" s="99" t="str">
        <f t="shared" si="10"/>
        <v/>
      </c>
      <c r="F50" s="43">
        <f t="shared" si="10"/>
        <v>1</v>
      </c>
      <c r="G50" s="43" t="str">
        <f t="shared" si="10"/>
        <v/>
      </c>
      <c r="H50" s="99" t="str">
        <f t="shared" si="10"/>
        <v/>
      </c>
      <c r="I50" s="43">
        <f t="shared" si="10"/>
        <v>0</v>
      </c>
      <c r="J50" s="43" t="str">
        <f t="shared" si="10"/>
        <v/>
      </c>
      <c r="K50" s="99" t="str">
        <f t="shared" si="10"/>
        <v/>
      </c>
      <c r="L50" s="43">
        <f t="shared" si="10"/>
        <v>0</v>
      </c>
      <c r="M50" s="43" t="str">
        <f t="shared" si="10"/>
        <v/>
      </c>
      <c r="N50" s="97">
        <f t="shared" si="2"/>
        <v>2</v>
      </c>
      <c r="O50" s="84"/>
      <c r="P50" s="84"/>
      <c r="Q50" s="98">
        <f t="shared" si="3"/>
        <v>0.69791666666666663</v>
      </c>
      <c r="R50" s="106">
        <f t="shared" si="4"/>
        <v>1</v>
      </c>
      <c r="S50" s="106">
        <f t="shared" si="5"/>
        <v>1</v>
      </c>
      <c r="T50" s="106">
        <f t="shared" si="6"/>
        <v>0</v>
      </c>
      <c r="U50" s="106">
        <f t="shared" si="7"/>
        <v>0</v>
      </c>
      <c r="V50" s="106">
        <f t="shared" si="8"/>
        <v>2</v>
      </c>
      <c r="W50" s="107">
        <f>W49+1</f>
        <v>4</v>
      </c>
    </row>
    <row r="51" spans="1:23" s="83" customFormat="1">
      <c r="A51" s="94">
        <f t="shared" si="9"/>
        <v>0.70833333333333326</v>
      </c>
      <c r="B51" s="99" t="str">
        <f t="shared" si="10"/>
        <v/>
      </c>
      <c r="C51" s="43">
        <f t="shared" si="10"/>
        <v>0</v>
      </c>
      <c r="D51" s="43" t="str">
        <f t="shared" si="10"/>
        <v/>
      </c>
      <c r="E51" s="99" t="str">
        <f t="shared" si="10"/>
        <v/>
      </c>
      <c r="F51" s="43">
        <f t="shared" si="10"/>
        <v>1</v>
      </c>
      <c r="G51" s="43" t="str">
        <f t="shared" si="10"/>
        <v/>
      </c>
      <c r="H51" s="99" t="str">
        <f t="shared" si="10"/>
        <v/>
      </c>
      <c r="I51" s="43">
        <f t="shared" si="10"/>
        <v>0</v>
      </c>
      <c r="J51" s="43" t="str">
        <f t="shared" si="10"/>
        <v/>
      </c>
      <c r="K51" s="99" t="str">
        <f t="shared" si="10"/>
        <v/>
      </c>
      <c r="L51" s="43">
        <f t="shared" si="10"/>
        <v>0</v>
      </c>
      <c r="M51" s="43" t="str">
        <f t="shared" si="10"/>
        <v/>
      </c>
      <c r="N51" s="97">
        <f t="shared" si="2"/>
        <v>1</v>
      </c>
      <c r="O51" s="84"/>
      <c r="P51" s="84"/>
      <c r="Q51" s="98">
        <f t="shared" si="3"/>
        <v>0.70833333333333326</v>
      </c>
      <c r="R51" s="106">
        <f t="shared" si="4"/>
        <v>0</v>
      </c>
      <c r="S51" s="106">
        <f t="shared" si="5"/>
        <v>1</v>
      </c>
      <c r="T51" s="106">
        <f t="shared" si="6"/>
        <v>0</v>
      </c>
      <c r="U51" s="106">
        <f t="shared" si="7"/>
        <v>0</v>
      </c>
      <c r="V51" s="106">
        <f t="shared" si="8"/>
        <v>1</v>
      </c>
      <c r="W51" s="107">
        <f>W50+1</f>
        <v>5</v>
      </c>
    </row>
    <row r="52" spans="1:23" s="83" customFormat="1">
      <c r="A52" s="94">
        <f t="shared" si="9"/>
        <v>0.71874999999999989</v>
      </c>
      <c r="B52" s="99" t="str">
        <f t="shared" si="10"/>
        <v/>
      </c>
      <c r="C52" s="43">
        <f t="shared" si="10"/>
        <v>0</v>
      </c>
      <c r="D52" s="43" t="str">
        <f t="shared" si="10"/>
        <v/>
      </c>
      <c r="E52" s="99" t="str">
        <f t="shared" si="10"/>
        <v/>
      </c>
      <c r="F52" s="43">
        <f t="shared" si="10"/>
        <v>1</v>
      </c>
      <c r="G52" s="43" t="str">
        <f t="shared" si="10"/>
        <v/>
      </c>
      <c r="H52" s="99" t="str">
        <f t="shared" si="10"/>
        <v/>
      </c>
      <c r="I52" s="43">
        <f t="shared" si="10"/>
        <v>0</v>
      </c>
      <c r="J52" s="43" t="str">
        <f t="shared" si="10"/>
        <v/>
      </c>
      <c r="K52" s="99" t="str">
        <f t="shared" si="10"/>
        <v/>
      </c>
      <c r="L52" s="43">
        <f t="shared" si="10"/>
        <v>0</v>
      </c>
      <c r="M52" s="43" t="str">
        <f t="shared" si="10"/>
        <v/>
      </c>
      <c r="N52" s="97">
        <f t="shared" si="2"/>
        <v>1</v>
      </c>
      <c r="O52" s="84"/>
      <c r="P52" s="84"/>
      <c r="Q52" s="98">
        <f t="shared" si="3"/>
        <v>0.71874999999999989</v>
      </c>
      <c r="R52" s="106">
        <f t="shared" si="4"/>
        <v>0</v>
      </c>
      <c r="S52" s="106">
        <f t="shared" si="5"/>
        <v>1</v>
      </c>
      <c r="T52" s="106">
        <f t="shared" si="6"/>
        <v>0</v>
      </c>
      <c r="U52" s="106">
        <f t="shared" si="7"/>
        <v>0</v>
      </c>
      <c r="V52" s="106">
        <f t="shared" si="8"/>
        <v>1</v>
      </c>
    </row>
    <row r="53" spans="1:23" s="83" customFormat="1">
      <c r="A53" s="94">
        <f t="shared" si="9"/>
        <v>0.72916666666666652</v>
      </c>
      <c r="B53" s="99" t="str">
        <f t="shared" si="10"/>
        <v/>
      </c>
      <c r="C53" s="43">
        <f t="shared" si="10"/>
        <v>0</v>
      </c>
      <c r="D53" s="43" t="str">
        <f t="shared" si="10"/>
        <v/>
      </c>
      <c r="E53" s="99" t="str">
        <f t="shared" si="10"/>
        <v/>
      </c>
      <c r="F53" s="43">
        <f t="shared" si="10"/>
        <v>1</v>
      </c>
      <c r="G53" s="43" t="str">
        <f t="shared" si="10"/>
        <v/>
      </c>
      <c r="H53" s="99" t="str">
        <f t="shared" si="10"/>
        <v/>
      </c>
      <c r="I53" s="43">
        <f t="shared" si="10"/>
        <v>0</v>
      </c>
      <c r="J53" s="43" t="str">
        <f t="shared" si="10"/>
        <v/>
      </c>
      <c r="K53" s="99" t="str">
        <f t="shared" si="10"/>
        <v/>
      </c>
      <c r="L53" s="43">
        <f t="shared" si="10"/>
        <v>0</v>
      </c>
      <c r="M53" s="43" t="str">
        <f t="shared" si="10"/>
        <v/>
      </c>
      <c r="N53" s="97">
        <f t="shared" si="2"/>
        <v>1</v>
      </c>
      <c r="O53" s="84"/>
      <c r="P53" s="84"/>
      <c r="Q53" s="98">
        <f t="shared" si="3"/>
        <v>0.72916666666666652</v>
      </c>
      <c r="R53" s="106">
        <f t="shared" si="4"/>
        <v>0</v>
      </c>
      <c r="S53" s="106">
        <f t="shared" si="5"/>
        <v>1</v>
      </c>
      <c r="T53" s="106">
        <f t="shared" si="6"/>
        <v>0</v>
      </c>
      <c r="U53" s="106">
        <f t="shared" si="7"/>
        <v>0</v>
      </c>
      <c r="V53" s="106">
        <f t="shared" si="8"/>
        <v>1</v>
      </c>
    </row>
    <row r="54" spans="1:23" s="83" customFormat="1">
      <c r="A54" s="94">
        <f t="shared" si="9"/>
        <v>0.73958333333333315</v>
      </c>
      <c r="B54" s="99" t="str">
        <f t="shared" si="10"/>
        <v/>
      </c>
      <c r="C54" s="43">
        <f t="shared" si="10"/>
        <v>1</v>
      </c>
      <c r="D54" s="43" t="str">
        <f t="shared" si="10"/>
        <v/>
      </c>
      <c r="E54" s="99" t="str">
        <f t="shared" si="10"/>
        <v/>
      </c>
      <c r="F54" s="43">
        <f t="shared" si="10"/>
        <v>0</v>
      </c>
      <c r="G54" s="43" t="str">
        <f t="shared" si="10"/>
        <v/>
      </c>
      <c r="H54" s="99" t="str">
        <f t="shared" si="10"/>
        <v/>
      </c>
      <c r="I54" s="43">
        <f t="shared" si="10"/>
        <v>1</v>
      </c>
      <c r="J54" s="43" t="str">
        <f t="shared" si="10"/>
        <v/>
      </c>
      <c r="K54" s="99" t="str">
        <f t="shared" si="10"/>
        <v/>
      </c>
      <c r="L54" s="43">
        <f t="shared" si="10"/>
        <v>1</v>
      </c>
      <c r="M54" s="43" t="str">
        <f t="shared" si="10"/>
        <v/>
      </c>
      <c r="N54" s="97">
        <f t="shared" si="2"/>
        <v>3</v>
      </c>
      <c r="O54" s="84"/>
      <c r="P54" s="84"/>
      <c r="Q54" s="98">
        <f t="shared" si="3"/>
        <v>0.73958333333333315</v>
      </c>
      <c r="R54" s="106">
        <f t="shared" si="4"/>
        <v>1</v>
      </c>
      <c r="S54" s="106">
        <f t="shared" si="5"/>
        <v>0</v>
      </c>
      <c r="T54" s="106">
        <f t="shared" si="6"/>
        <v>1</v>
      </c>
      <c r="U54" s="106">
        <f t="shared" si="7"/>
        <v>1</v>
      </c>
      <c r="V54" s="106">
        <f t="shared" si="8"/>
        <v>3</v>
      </c>
    </row>
    <row r="55" spans="1:23" s="83" customFormat="1">
      <c r="A55" s="94">
        <f t="shared" si="9"/>
        <v>0.74999999999999978</v>
      </c>
      <c r="B55" s="99" t="str">
        <f t="shared" si="10"/>
        <v/>
      </c>
      <c r="C55" s="43">
        <f t="shared" si="10"/>
        <v>0</v>
      </c>
      <c r="D55" s="43" t="str">
        <f t="shared" si="10"/>
        <v/>
      </c>
      <c r="E55" s="99" t="str">
        <f t="shared" si="10"/>
        <v/>
      </c>
      <c r="F55" s="43">
        <f t="shared" si="10"/>
        <v>0</v>
      </c>
      <c r="G55" s="43" t="str">
        <f t="shared" si="10"/>
        <v/>
      </c>
      <c r="H55" s="99" t="str">
        <f t="shared" si="10"/>
        <v/>
      </c>
      <c r="I55" s="43">
        <f t="shared" si="10"/>
        <v>1</v>
      </c>
      <c r="J55" s="43" t="str">
        <f t="shared" si="10"/>
        <v/>
      </c>
      <c r="K55" s="99" t="str">
        <f t="shared" si="10"/>
        <v/>
      </c>
      <c r="L55" s="43">
        <f t="shared" si="10"/>
        <v>1</v>
      </c>
      <c r="M55" s="43" t="str">
        <f t="shared" si="10"/>
        <v/>
      </c>
      <c r="N55" s="97">
        <f t="shared" si="2"/>
        <v>2</v>
      </c>
      <c r="O55" s="84"/>
      <c r="P55" s="84"/>
      <c r="Q55" s="98">
        <f t="shared" si="3"/>
        <v>0.74999999999999978</v>
      </c>
      <c r="R55" s="106">
        <f t="shared" si="4"/>
        <v>0</v>
      </c>
      <c r="S55" s="106">
        <f t="shared" si="5"/>
        <v>0</v>
      </c>
      <c r="T55" s="106">
        <f t="shared" si="6"/>
        <v>1</v>
      </c>
      <c r="U55" s="106">
        <f t="shared" si="7"/>
        <v>1</v>
      </c>
      <c r="V55" s="106">
        <f t="shared" si="8"/>
        <v>2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">
        <v>17</v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0.6875</v>
      </c>
      <c r="R61" s="106">
        <f>MAX(INDEX(R48:V59,W48,1),INDEX(R48:V59,W49,1),INDEX(R48:V59,W50,1),INDEX(R48:V59,W51,1))</f>
        <v>1</v>
      </c>
      <c r="S61" s="106">
        <f>MAX(INDEX(R48:V59,W48,2),INDEX(R48:V59,W49,2),INDEX(R48:V59,W50,2),INDEX(R48:V59,W51,2))</f>
        <v>1</v>
      </c>
      <c r="T61" s="106">
        <f>MAX(INDEX(R48:V59,W48,3),INDEX(R48:V59,W49,3),INDEX(R48:V59,W50,3),INDEX(R48:V59,W51,3))</f>
        <v>2</v>
      </c>
      <c r="U61" s="106">
        <f>MAX(INDEX(R48:V59,W48,4),INDEX(R48:V59,W49,4),INDEX(R48:V59,W50,4),INDEX(R48:V59,W51,4))</f>
        <v>0</v>
      </c>
      <c r="V61" s="106">
        <f>MAX(INDEX(V48:V59,W48,1),INDEX(V48:V59,W49,1),INDEX(V48:V59,W50,1),INDEX(V48:V59,W51,1))</f>
        <v>4</v>
      </c>
      <c r="W61" s="83">
        <f>MATCH(V61,V48:V59,0)</f>
        <v>2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0.66666666666666674</v>
      </c>
      <c r="B63" s="99" t="str">
        <f t="shared" ref="B63:M63" si="11">IF(B33="","",IF($A$63&lt;&gt;"",SUM(B48:B51),""))</f>
        <v/>
      </c>
      <c r="C63" s="43">
        <f t="shared" si="11"/>
        <v>2</v>
      </c>
      <c r="D63" s="43" t="str">
        <f t="shared" si="11"/>
        <v/>
      </c>
      <c r="E63" s="99" t="str">
        <f t="shared" si="11"/>
        <v/>
      </c>
      <c r="F63" s="43">
        <f t="shared" si="11"/>
        <v>3</v>
      </c>
      <c r="G63" s="43" t="str">
        <f t="shared" si="11"/>
        <v/>
      </c>
      <c r="H63" s="99" t="str">
        <f t="shared" si="11"/>
        <v/>
      </c>
      <c r="I63" s="43">
        <f t="shared" si="11"/>
        <v>2</v>
      </c>
      <c r="J63" s="43" t="str">
        <f t="shared" si="11"/>
        <v/>
      </c>
      <c r="K63" s="99" t="str">
        <f t="shared" si="11"/>
        <v/>
      </c>
      <c r="L63" s="43">
        <f t="shared" si="11"/>
        <v>0</v>
      </c>
      <c r="M63" s="43" t="str">
        <f t="shared" si="11"/>
        <v/>
      </c>
      <c r="N63" s="97">
        <f t="shared" ref="N63:N71" si="12">IF(SUM(B63:M63)&lt;=0,"",SUM(B63:M63))</f>
        <v>7</v>
      </c>
      <c r="O63" s="84"/>
      <c r="P63" s="84"/>
      <c r="Q63" s="98">
        <f t="shared" ref="Q63:Q71" si="13">$A63</f>
        <v>0.66666666666666674</v>
      </c>
      <c r="R63" s="83">
        <f>MAX(N63:N71)</f>
        <v>8</v>
      </c>
    </row>
    <row r="64" spans="1:23" s="76" customFormat="1">
      <c r="A64" s="94">
        <f t="shared" ref="A64:A71" si="14">IF(A63="","",IF(A52="","",A63+15/1440))</f>
        <v>0.67708333333333337</v>
      </c>
      <c r="B64" s="99" t="str">
        <f>IF($A$64="","",IF(B52&lt;&gt;"",SUM(B49:B52),""))</f>
        <v/>
      </c>
      <c r="C64" s="43">
        <f>IF($A$64="","",IF(C52&lt;&gt;"",SUM(C49:C52),""))</f>
        <v>2</v>
      </c>
      <c r="D64" s="43" t="str">
        <f t="shared" ref="D64:M64" si="15">IF($A$64="","",IF(D52&lt;&gt;"",SUM(D49:D52),""))</f>
        <v/>
      </c>
      <c r="E64" s="99" t="str">
        <f t="shared" si="15"/>
        <v/>
      </c>
      <c r="F64" s="43">
        <f t="shared" si="15"/>
        <v>4</v>
      </c>
      <c r="G64" s="43" t="str">
        <f t="shared" si="15"/>
        <v/>
      </c>
      <c r="H64" s="99" t="str">
        <f t="shared" si="15"/>
        <v/>
      </c>
      <c r="I64" s="43">
        <f t="shared" si="15"/>
        <v>2</v>
      </c>
      <c r="J64" s="43" t="str">
        <f t="shared" si="15"/>
        <v/>
      </c>
      <c r="K64" s="99" t="str">
        <f t="shared" si="15"/>
        <v/>
      </c>
      <c r="L64" s="43">
        <f t="shared" si="15"/>
        <v>0</v>
      </c>
      <c r="M64" s="43" t="str">
        <f t="shared" si="15"/>
        <v/>
      </c>
      <c r="N64" s="97">
        <f t="shared" si="12"/>
        <v>8</v>
      </c>
      <c r="O64" s="84"/>
      <c r="P64" s="84"/>
      <c r="Q64" s="98">
        <f t="shared" si="13"/>
        <v>0.67708333333333337</v>
      </c>
      <c r="R64" s="83">
        <f>MATCH(R63,N63:N71,0)</f>
        <v>2</v>
      </c>
      <c r="S64" s="98">
        <f>INDEX(Q63:Q71,R64,1)</f>
        <v>0.67708333333333337</v>
      </c>
      <c r="T64" s="83"/>
    </row>
    <row r="65" spans="1:20" s="83" customFormat="1">
      <c r="A65" s="94">
        <f t="shared" si="14"/>
        <v>0.6875</v>
      </c>
      <c r="B65" s="99" t="str">
        <f>IF($A$65="","",IF(B53&lt;&gt;"",SUM(B50:B53),""))</f>
        <v/>
      </c>
      <c r="C65" s="43">
        <f>IF($A$65="","",IF(C53&lt;&gt;"",SUM(C50:C53),""))</f>
        <v>1</v>
      </c>
      <c r="D65" s="43" t="str">
        <f t="shared" ref="D65:M65" si="16">IF($A$65="","",IF(D53&lt;&gt;"",SUM(D50:D53),""))</f>
        <v/>
      </c>
      <c r="E65" s="99" t="str">
        <f t="shared" si="16"/>
        <v/>
      </c>
      <c r="F65" s="43">
        <f t="shared" si="16"/>
        <v>4</v>
      </c>
      <c r="G65" s="43" t="str">
        <f t="shared" si="16"/>
        <v/>
      </c>
      <c r="H65" s="99" t="str">
        <f t="shared" si="16"/>
        <v/>
      </c>
      <c r="I65" s="43">
        <f t="shared" si="16"/>
        <v>0</v>
      </c>
      <c r="J65" s="43" t="str">
        <f t="shared" si="16"/>
        <v/>
      </c>
      <c r="K65" s="99" t="str">
        <f t="shared" si="16"/>
        <v/>
      </c>
      <c r="L65" s="43">
        <f t="shared" si="16"/>
        <v>0</v>
      </c>
      <c r="M65" s="43" t="str">
        <f t="shared" si="16"/>
        <v/>
      </c>
      <c r="N65" s="97">
        <f t="shared" si="12"/>
        <v>5</v>
      </c>
      <c r="O65" s="84"/>
      <c r="P65" s="84"/>
      <c r="Q65" s="98">
        <f t="shared" si="13"/>
        <v>0.6875</v>
      </c>
    </row>
    <row r="66" spans="1:20" s="83" customFormat="1">
      <c r="A66" s="94">
        <f t="shared" si="14"/>
        <v>0.69791666666666663</v>
      </c>
      <c r="B66" s="99" t="str">
        <f>IF($A$64="","",IF(B54&lt;&gt;"",SUM(B51:B54),""))</f>
        <v/>
      </c>
      <c r="C66" s="43">
        <f>IF($A$64="","",IF(C54&lt;&gt;"",SUM(C51:C54),""))</f>
        <v>1</v>
      </c>
      <c r="D66" s="43" t="str">
        <f t="shared" ref="D66:M66" si="17">IF($A$64="","",IF(D54&lt;&gt;"",SUM(D51:D54),""))</f>
        <v/>
      </c>
      <c r="E66" s="99" t="str">
        <f t="shared" si="17"/>
        <v/>
      </c>
      <c r="F66" s="43">
        <f t="shared" si="17"/>
        <v>3</v>
      </c>
      <c r="G66" s="43" t="str">
        <f t="shared" si="17"/>
        <v/>
      </c>
      <c r="H66" s="99" t="str">
        <f t="shared" si="17"/>
        <v/>
      </c>
      <c r="I66" s="43">
        <f t="shared" si="17"/>
        <v>1</v>
      </c>
      <c r="J66" s="43" t="str">
        <f t="shared" si="17"/>
        <v/>
      </c>
      <c r="K66" s="99" t="str">
        <f t="shared" si="17"/>
        <v/>
      </c>
      <c r="L66" s="43">
        <f t="shared" si="17"/>
        <v>1</v>
      </c>
      <c r="M66" s="43" t="str">
        <f t="shared" si="17"/>
        <v/>
      </c>
      <c r="N66" s="97">
        <f>IF(SUM(B66:M66)&lt;=0,"",SUM(B66:M66))</f>
        <v>6</v>
      </c>
      <c r="O66" s="84"/>
      <c r="P66" s="84"/>
      <c r="Q66" s="98">
        <f t="shared" si="13"/>
        <v>0.69791666666666663</v>
      </c>
    </row>
    <row r="67" spans="1:20" s="83" customFormat="1">
      <c r="A67" s="94">
        <f t="shared" si="14"/>
        <v>0.70833333333333326</v>
      </c>
      <c r="B67" s="99" t="str">
        <f>IF($A$65="","",IF(B55&lt;&gt;"",SUM(B52:B55),""))</f>
        <v/>
      </c>
      <c r="C67" s="43">
        <f>IF($A$65="","",IF(C55&lt;&gt;"",SUM(C52:C55),""))</f>
        <v>1</v>
      </c>
      <c r="D67" s="43" t="str">
        <f t="shared" ref="D67:M67" si="18">IF($A$65="","",IF(D55&lt;&gt;"",SUM(D52:D55),""))</f>
        <v/>
      </c>
      <c r="E67" s="99" t="str">
        <f t="shared" si="18"/>
        <v/>
      </c>
      <c r="F67" s="43">
        <f t="shared" si="18"/>
        <v>2</v>
      </c>
      <c r="G67" s="43" t="str">
        <f t="shared" si="18"/>
        <v/>
      </c>
      <c r="H67" s="99" t="str">
        <f t="shared" si="18"/>
        <v/>
      </c>
      <c r="I67" s="43">
        <f t="shared" si="18"/>
        <v>2</v>
      </c>
      <c r="J67" s="43" t="str">
        <f t="shared" si="18"/>
        <v/>
      </c>
      <c r="K67" s="99" t="str">
        <f t="shared" si="18"/>
        <v/>
      </c>
      <c r="L67" s="43">
        <f t="shared" si="18"/>
        <v>2</v>
      </c>
      <c r="M67" s="43" t="str">
        <f t="shared" si="18"/>
        <v/>
      </c>
      <c r="N67" s="97">
        <f>IF(SUM(B67:M67)&lt;=0,"",SUM(B67:M67))</f>
        <v>7</v>
      </c>
      <c r="O67" s="84"/>
      <c r="P67" s="84"/>
      <c r="Q67" s="98">
        <f t="shared" si="13"/>
        <v>0.70833333333333326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">
        <v>17</v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4</v>
      </c>
      <c r="I76" s="56">
        <f>IF(D33="",0,INDEX($B$63:$M$71,$R$64,3))+IF(E33="",0,INDEX($B$63:$M$71,$R$64,4))+IF(L33="",0,INDEX($B$63:$M$71,$R$64,11))</f>
        <v>0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2</v>
      </c>
      <c r="F77" s="56">
        <f>IF(E33="",0,INDEX($B$63:$M$71,$R$64,4))+IF(F33="",0,INDEX($B$63:$M$71,$R$64,5))+IF(G33="",0,INDEX($B$63:$M$71,$R$64,6))</f>
        <v>4</v>
      </c>
      <c r="I77" s="56">
        <f>IF(H33="",0,INDEX($B$63:$M$71,$R$64,7))+IF(I33="",0,INDEX($B$63:$M$71,$R$64,8))+IF(J33="",0,INDEX($B$63:$M$71,$R$64,9))</f>
        <v>2</v>
      </c>
      <c r="L77" s="56">
        <f>IF(K33="",0,INDEX($B$63:$M$71,$R$64,10))+IF(L33="",0,INDEX($B$63:$M$71,$R$64,11))+IF(M33="",0,INDEX($B$63:$M$71,$R$64,12))</f>
        <v>0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2</v>
      </c>
      <c r="L78" s="56">
        <f>IF(B33="",0,INDEX($B$63:$M$71,$R$64,1))+IF(G33="",0,INDEX($B$63:$M$71,$R$64,6))+IF(I33="",0,INDEX($B$63:$M$71,$R$64,8))</f>
        <v>2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vehicles</vt:lpstr>
      <vt:lpstr>peds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2010-12-11T03:40:56Z</dcterms:created>
  <dcterms:modified xsi:type="dcterms:W3CDTF">2011-04-26T15:48:29Z</dcterms:modified>
</cp:coreProperties>
</file>