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drawings/drawing1.xml" ContentType="application/vnd.openxmlformats-officedocument.drawing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02362baaecfb9e39/Contabilidade/ENADE/"/>
    </mc:Choice>
  </mc:AlternateContent>
  <xr:revisionPtr revIDLastSave="758" documentId="13_ncr:1_{A196AC25-4E76-4699-92C6-2D2E9897C62D}" xr6:coauthVersionLast="47" xr6:coauthVersionMax="47" xr10:uidLastSave="{EECD1E4C-F436-49E9-8AA8-0774E1DCA32D}"/>
  <bookViews>
    <workbookView xWindow="-108" yWindow="-108" windowWidth="23256" windowHeight="12456" tabRatio="834" firstSheet="3" activeTab="3" xr2:uid="{00000000-000D-0000-FFFF-FFFF00000000}"/>
  </bookViews>
  <sheets>
    <sheet name="Plano de Contas " sheetId="1" r:id="rId1"/>
    <sheet name="Planilha1" sheetId="39" r:id="rId2"/>
    <sheet name="BP Inicial" sheetId="35" r:id="rId3"/>
    <sheet name="Consolidação" sheetId="32" r:id="rId4"/>
    <sheet name="1° Trimestre" sheetId="12" r:id="rId5"/>
    <sheet name="Razonete" sheetId="36" r:id="rId6"/>
    <sheet name="Balanço Patrimonial" sheetId="38" r:id="rId7"/>
    <sheet name="DFC" sheetId="26" r:id="rId8"/>
    <sheet name="Fluxo Caixa" sheetId="31" r:id="rId9"/>
    <sheet name="Planilha2" sheetId="40" r:id="rId10"/>
  </sheets>
  <externalReferences>
    <externalReference r:id="rId11"/>
    <externalReference r:id="rId12"/>
  </externalReferences>
  <calcPr calcId="191028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31" l="1"/>
  <c r="I6" i="31"/>
  <c r="I5" i="31"/>
  <c r="I4" i="31"/>
  <c r="I3" i="31"/>
  <c r="C25" i="26"/>
  <c r="C4" i="31"/>
  <c r="C11" i="38"/>
  <c r="C10" i="38" s="1"/>
  <c r="B31" i="38"/>
  <c r="B30" i="38"/>
  <c r="B29" i="38"/>
  <c r="B28" i="38"/>
  <c r="B27" i="38"/>
  <c r="B26" i="38"/>
  <c r="B25" i="38"/>
  <c r="B24" i="38"/>
  <c r="B23" i="38"/>
  <c r="B22" i="38"/>
  <c r="C21" i="38"/>
  <c r="C20" i="38" s="1"/>
  <c r="B21" i="38"/>
  <c r="B20" i="38"/>
  <c r="B14" i="38"/>
  <c r="C13" i="38"/>
  <c r="B13" i="38"/>
  <c r="B12" i="38"/>
  <c r="B11" i="38"/>
  <c r="B10" i="38"/>
  <c r="B9" i="38"/>
  <c r="B8" i="38"/>
  <c r="B7" i="38"/>
  <c r="B6" i="38"/>
  <c r="B5" i="38"/>
  <c r="B4" i="38"/>
  <c r="B3" i="38"/>
  <c r="F4" i="36"/>
  <c r="C9" i="38" s="1"/>
  <c r="C8" i="38" s="1"/>
  <c r="F5" i="36"/>
  <c r="F6" i="36"/>
  <c r="F7" i="36"/>
  <c r="F8" i="36"/>
  <c r="F10" i="36"/>
  <c r="C36" i="38" s="1"/>
  <c r="E10" i="36"/>
  <c r="C7" i="26" s="1"/>
  <c r="D11" i="36"/>
  <c r="F11" i="36" s="1"/>
  <c r="C35" i="38" s="1"/>
  <c r="E5" i="36"/>
  <c r="C3" i="26" s="1"/>
  <c r="E4" i="36"/>
  <c r="E3" i="36"/>
  <c r="D3" i="36"/>
  <c r="F3" i="36" s="1"/>
  <c r="C7" i="38" s="1"/>
  <c r="C6" i="38" s="1"/>
  <c r="D2" i="36"/>
  <c r="F2" i="36" s="1"/>
  <c r="C5" i="38" s="1"/>
  <c r="G7" i="36"/>
  <c r="H7" i="36" s="1"/>
  <c r="C9" i="36"/>
  <c r="C5" i="36"/>
  <c r="C4" i="36"/>
  <c r="C2" i="36"/>
  <c r="C21" i="35"/>
  <c r="I7" i="36"/>
  <c r="J7" i="36" s="1"/>
  <c r="I6" i="36"/>
  <c r="J6" i="36" s="1"/>
  <c r="I5" i="36"/>
  <c r="J5" i="36" s="1"/>
  <c r="I4" i="36"/>
  <c r="J4" i="36" s="1"/>
  <c r="I3" i="36"/>
  <c r="J3" i="36" s="1"/>
  <c r="G6" i="36"/>
  <c r="H6" i="36" s="1"/>
  <c r="G5" i="36"/>
  <c r="H5" i="36" s="1"/>
  <c r="G4" i="36"/>
  <c r="H4" i="36" s="1"/>
  <c r="G3" i="36"/>
  <c r="H3" i="36" s="1"/>
  <c r="B2" i="36"/>
  <c r="B3" i="36"/>
  <c r="B4" i="36"/>
  <c r="B5" i="36"/>
  <c r="B6" i="36"/>
  <c r="B7" i="36"/>
  <c r="B8" i="36"/>
  <c r="B9" i="36"/>
  <c r="B10" i="36"/>
  <c r="B11" i="36"/>
  <c r="G2" i="36"/>
  <c r="H2" i="36" s="1"/>
  <c r="I2" i="36"/>
  <c r="J2" i="36" s="1"/>
  <c r="G8" i="36"/>
  <c r="H8" i="36" s="1"/>
  <c r="I8" i="36"/>
  <c r="J8" i="36" s="1"/>
  <c r="G9" i="36"/>
  <c r="H9" i="36" s="1"/>
  <c r="I9" i="36"/>
  <c r="J9" i="36" s="1"/>
  <c r="G10" i="36"/>
  <c r="H10" i="36" s="1"/>
  <c r="I10" i="36"/>
  <c r="J10" i="36" s="1"/>
  <c r="G11" i="36"/>
  <c r="H11" i="36" s="1"/>
  <c r="I11" i="36"/>
  <c r="J11" i="36" s="1"/>
  <c r="B25" i="35"/>
  <c r="B24" i="35"/>
  <c r="B23" i="35"/>
  <c r="B22" i="35"/>
  <c r="C8" i="35"/>
  <c r="C6" i="35"/>
  <c r="B31" i="35"/>
  <c r="B30" i="35"/>
  <c r="B29" i="35"/>
  <c r="B28" i="35"/>
  <c r="B27" i="35"/>
  <c r="B26" i="35"/>
  <c r="B21" i="35"/>
  <c r="B20" i="35"/>
  <c r="B14" i="35"/>
  <c r="B13" i="35"/>
  <c r="B12" i="35"/>
  <c r="B11" i="35"/>
  <c r="B10" i="35"/>
  <c r="B9" i="35"/>
  <c r="B8" i="35"/>
  <c r="B7" i="35"/>
  <c r="B6" i="35"/>
  <c r="B5" i="35"/>
  <c r="B4" i="35"/>
  <c r="B3" i="35"/>
  <c r="C37" i="38" l="1"/>
  <c r="E9" i="36" s="1"/>
  <c r="F9" i="36" s="1"/>
  <c r="C30" i="38" s="1"/>
  <c r="C27" i="38" s="1"/>
  <c r="C32" i="38" s="1"/>
  <c r="C17" i="38" s="1"/>
  <c r="C4" i="38"/>
  <c r="C20" i="35"/>
  <c r="C10" i="35"/>
  <c r="C20" i="12"/>
  <c r="G20" i="12"/>
  <c r="H20" i="12" s="1"/>
  <c r="I20" i="12"/>
  <c r="J20" i="12" s="1"/>
  <c r="C21" i="12"/>
  <c r="G21" i="12"/>
  <c r="H21" i="12" s="1"/>
  <c r="I21" i="12"/>
  <c r="J21" i="12" s="1"/>
  <c r="C22" i="12"/>
  <c r="G22" i="12"/>
  <c r="H22" i="12" s="1"/>
  <c r="I22" i="12"/>
  <c r="J22" i="12" s="1"/>
  <c r="C23" i="12"/>
  <c r="G23" i="12"/>
  <c r="H23" i="12" s="1"/>
  <c r="I23" i="12"/>
  <c r="J23" i="12" s="1"/>
  <c r="C24" i="12"/>
  <c r="G24" i="12"/>
  <c r="H24" i="12" s="1"/>
  <c r="I24" i="12"/>
  <c r="J24" i="12" s="1"/>
  <c r="C25" i="12"/>
  <c r="G25" i="12"/>
  <c r="H25" i="12" s="1"/>
  <c r="I25" i="12"/>
  <c r="J25" i="12" s="1"/>
  <c r="C26" i="12"/>
  <c r="G26" i="12"/>
  <c r="H26" i="12" s="1"/>
  <c r="I26" i="12"/>
  <c r="J26" i="12" s="1"/>
  <c r="C15" i="12"/>
  <c r="G15" i="12"/>
  <c r="H15" i="12" s="1"/>
  <c r="I15" i="12"/>
  <c r="J15" i="12" s="1"/>
  <c r="C16" i="12"/>
  <c r="G16" i="12"/>
  <c r="H16" i="12" s="1"/>
  <c r="I16" i="12"/>
  <c r="J16" i="12" s="1"/>
  <c r="C17" i="12"/>
  <c r="G17" i="12"/>
  <c r="H17" i="12" s="1"/>
  <c r="I17" i="12"/>
  <c r="J17" i="12" s="1"/>
  <c r="C18" i="12"/>
  <c r="G18" i="12"/>
  <c r="H18" i="12" s="1"/>
  <c r="I18" i="12"/>
  <c r="J18" i="12" s="1"/>
  <c r="C19" i="12"/>
  <c r="G19" i="12"/>
  <c r="H19" i="12" s="1"/>
  <c r="I19" i="12"/>
  <c r="J19" i="12" s="1"/>
  <c r="C10" i="12"/>
  <c r="C11" i="12"/>
  <c r="C12" i="12"/>
  <c r="C13" i="12"/>
  <c r="C14" i="12"/>
  <c r="C27" i="12"/>
  <c r="G10" i="12"/>
  <c r="H10" i="12" s="1"/>
  <c r="I10" i="12"/>
  <c r="J10" i="12" s="1"/>
  <c r="G11" i="12"/>
  <c r="H11" i="12" s="1"/>
  <c r="I11" i="12"/>
  <c r="J11" i="12" s="1"/>
  <c r="G12" i="12"/>
  <c r="H12" i="12" s="1"/>
  <c r="I12" i="12"/>
  <c r="J12" i="12" s="1"/>
  <c r="G13" i="12"/>
  <c r="H13" i="12" s="1"/>
  <c r="I13" i="12"/>
  <c r="J13" i="12" s="1"/>
  <c r="G14" i="12"/>
  <c r="H14" i="12" s="1"/>
  <c r="I14" i="12"/>
  <c r="J14" i="12" s="1"/>
  <c r="G27" i="12"/>
  <c r="H27" i="12" s="1"/>
  <c r="I27" i="12"/>
  <c r="J27" i="12" s="1"/>
  <c r="C20" i="31"/>
  <c r="F20" i="31"/>
  <c r="C57" i="31"/>
  <c r="C59" i="31" s="1"/>
  <c r="C53" i="31"/>
  <c r="C55" i="31" s="1"/>
  <c r="C49" i="31"/>
  <c r="C51" i="31" s="1"/>
  <c r="C45" i="31"/>
  <c r="C47" i="31" s="1"/>
  <c r="C3" i="38" l="1"/>
  <c r="C15" i="38" s="1"/>
  <c r="C16" i="38" s="1"/>
  <c r="C26" i="26"/>
  <c r="C4" i="35"/>
  <c r="C3" i="35" s="1"/>
  <c r="F2" i="31"/>
  <c r="F24" i="31"/>
  <c r="F4" i="31"/>
  <c r="C61" i="31"/>
  <c r="B16" i="26" l="1"/>
  <c r="I2" i="12" l="1"/>
  <c r="J2" i="12" s="1"/>
  <c r="I3" i="12"/>
  <c r="J3" i="12" s="1"/>
  <c r="I4" i="12"/>
  <c r="J4" i="12" s="1"/>
  <c r="I5" i="12"/>
  <c r="J5" i="12" s="1"/>
  <c r="I6" i="12"/>
  <c r="J6" i="12" s="1"/>
  <c r="I7" i="12"/>
  <c r="J7" i="12" s="1"/>
  <c r="I8" i="12"/>
  <c r="J8" i="12" s="1"/>
  <c r="I9" i="12"/>
  <c r="J9" i="12" s="1"/>
  <c r="G2" i="12"/>
  <c r="H2" i="12" s="1"/>
  <c r="G3" i="12"/>
  <c r="H3" i="12" s="1"/>
  <c r="G4" i="12"/>
  <c r="H4" i="12" s="1"/>
  <c r="G5" i="12"/>
  <c r="H5" i="12" s="1"/>
  <c r="G6" i="12"/>
  <c r="H6" i="12" s="1"/>
  <c r="G7" i="12"/>
  <c r="H7" i="12" s="1"/>
  <c r="G8" i="12"/>
  <c r="H8" i="12" s="1"/>
  <c r="G9" i="12"/>
  <c r="H9" i="12" s="1"/>
  <c r="C2" i="12"/>
  <c r="C3" i="12"/>
  <c r="C4" i="12"/>
  <c r="C5" i="12"/>
  <c r="C6" i="12"/>
  <c r="C7" i="12"/>
  <c r="C8" i="12"/>
  <c r="C9" i="12"/>
  <c r="E28" i="12"/>
  <c r="C14" i="26" l="1"/>
  <c r="C13" i="35" l="1"/>
  <c r="C15" i="35" s="1"/>
  <c r="C16" i="35" s="1"/>
  <c r="C23" i="26" a="1"/>
  <c r="C23" i="26" s="1"/>
  <c r="C8" i="26"/>
  <c r="C24" i="26" l="1"/>
  <c r="C27" i="35"/>
  <c r="C32" i="35" s="1"/>
  <c r="C17" i="35" s="1"/>
  <c r="C62" i="3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<sst xmlns="http://schemas.openxmlformats.org/spreadsheetml/2006/main" count="499" uniqueCount="221">
  <si>
    <t>Código</t>
  </si>
  <si>
    <t>Descrição</t>
  </si>
  <si>
    <t>Natureza</t>
  </si>
  <si>
    <t>1.</t>
  </si>
  <si>
    <t>Ativo</t>
  </si>
  <si>
    <t>Débito</t>
  </si>
  <si>
    <t>1.1</t>
  </si>
  <si>
    <t>Ativo Circulante</t>
  </si>
  <si>
    <t>1.1.1.1</t>
  </si>
  <si>
    <t>Caixa</t>
  </si>
  <si>
    <t>1.1.1.2</t>
  </si>
  <si>
    <t>Banco/Conta/Movimento</t>
  </si>
  <si>
    <t>1.1.1.2.1</t>
  </si>
  <si>
    <t>1.1.1.3</t>
  </si>
  <si>
    <t>1.1.1.3.1</t>
  </si>
  <si>
    <t>Crédito</t>
  </si>
  <si>
    <t>1.2</t>
  </si>
  <si>
    <t xml:space="preserve">Ativo não cicurlante </t>
  </si>
  <si>
    <t>1.2.3</t>
  </si>
  <si>
    <t>Imobilizado</t>
  </si>
  <si>
    <t>1.2.3.1</t>
  </si>
  <si>
    <t>2.</t>
  </si>
  <si>
    <t>Passivo</t>
  </si>
  <si>
    <t>2.1</t>
  </si>
  <si>
    <t>Passivo circulante</t>
  </si>
  <si>
    <t>2.1.1</t>
  </si>
  <si>
    <t>2.1.2</t>
  </si>
  <si>
    <t>2.1.3</t>
  </si>
  <si>
    <t>Contas a Pagar</t>
  </si>
  <si>
    <t>2.3</t>
  </si>
  <si>
    <t>Patrimônio Liquido</t>
  </si>
  <si>
    <t>2.3.1</t>
  </si>
  <si>
    <t>2.3.2</t>
  </si>
  <si>
    <t>3.</t>
  </si>
  <si>
    <t>Despesas</t>
  </si>
  <si>
    <t>3.2</t>
  </si>
  <si>
    <t>3.2.1</t>
  </si>
  <si>
    <t>4.</t>
  </si>
  <si>
    <t>Receitas</t>
  </si>
  <si>
    <t>4.1</t>
  </si>
  <si>
    <t>4.1.1</t>
  </si>
  <si>
    <t>5.</t>
  </si>
  <si>
    <t>Apuração do resultado do exercício</t>
  </si>
  <si>
    <t>5.1</t>
  </si>
  <si>
    <t>Resultado do exercício</t>
  </si>
  <si>
    <t>Nome da Conta</t>
  </si>
  <si>
    <t xml:space="preserve">Valor </t>
  </si>
  <si>
    <t>Data</t>
  </si>
  <si>
    <t>D/C</t>
  </si>
  <si>
    <t>Código Nivel I</t>
  </si>
  <si>
    <t>Tipo da Conta</t>
  </si>
  <si>
    <t>Código Nivel 2</t>
  </si>
  <si>
    <t>Subgrupo</t>
  </si>
  <si>
    <t>Total</t>
  </si>
  <si>
    <t>Conta</t>
  </si>
  <si>
    <t>1° Trimestre</t>
  </si>
  <si>
    <t>Valor</t>
  </si>
  <si>
    <t>Ativo Total</t>
  </si>
  <si>
    <t>Passivo Total</t>
  </si>
  <si>
    <t>1.1.1.4</t>
  </si>
  <si>
    <t>Aplicação Liquidez Imediata</t>
  </si>
  <si>
    <t>1.1.1.4.1</t>
  </si>
  <si>
    <t>D</t>
  </si>
  <si>
    <t>(-)</t>
  </si>
  <si>
    <t>=</t>
  </si>
  <si>
    <t>Clientes</t>
  </si>
  <si>
    <t>Fornecedores</t>
  </si>
  <si>
    <t>Empréstimos e Financiamentos</t>
  </si>
  <si>
    <t>2.3.3</t>
  </si>
  <si>
    <t>Capital Social</t>
  </si>
  <si>
    <t>Capital a Integralizar</t>
  </si>
  <si>
    <t>Lucros Acumulados</t>
  </si>
  <si>
    <t>Reserva de Lucros</t>
  </si>
  <si>
    <t>2.3.4</t>
  </si>
  <si>
    <t>Receita Bruta de Vendas</t>
  </si>
  <si>
    <t>Receitas Operacionais</t>
  </si>
  <si>
    <t>Despesas Administrativas e Financeiras</t>
  </si>
  <si>
    <t>Fluxo de Caixa</t>
  </si>
  <si>
    <t>Das atividades operacionais</t>
  </si>
  <si>
    <t>(+)</t>
  </si>
  <si>
    <t>Recebimento de clientes</t>
  </si>
  <si>
    <t>Pagamento de fornecedores</t>
  </si>
  <si>
    <t xml:space="preserve">(-) </t>
  </si>
  <si>
    <t>Pagamento de funcionário</t>
  </si>
  <si>
    <t>Disponibilidade geradas pelas atividades operacionais</t>
  </si>
  <si>
    <t>Das Atividades de investimento</t>
  </si>
  <si>
    <t>Investimentos</t>
  </si>
  <si>
    <t>Recebimento de venda de imobilizado</t>
  </si>
  <si>
    <t>Recebimento de dividentos</t>
  </si>
  <si>
    <t>Disponibilidade geradas pelas atividades de investimento</t>
  </si>
  <si>
    <t>Das atividades de financiamento</t>
  </si>
  <si>
    <t>Integralização de capital</t>
  </si>
  <si>
    <t>Pagamento de dividentos</t>
  </si>
  <si>
    <t>Disponibilidade geradas pelas atividades de financiamento</t>
  </si>
  <si>
    <t>Aumento/ Diminuição nas disponibilidade</t>
  </si>
  <si>
    <t xml:space="preserve">Disponibilidades no inicio do periodo </t>
  </si>
  <si>
    <t xml:space="preserve">Disponibilidades no final do periodo </t>
  </si>
  <si>
    <t>Rentabilidade</t>
  </si>
  <si>
    <t>Banco 8 (C/C)</t>
  </si>
  <si>
    <t>Despesas Gerais</t>
  </si>
  <si>
    <t>Recolhimento do Governo</t>
  </si>
  <si>
    <t>Compra de ativo imobilizado</t>
  </si>
  <si>
    <t>Recebimento de empréstimos a longo prazo</t>
  </si>
  <si>
    <t>Ajuste de Participações em Coligadas/Controladas</t>
  </si>
  <si>
    <t xml:space="preserve">(+) </t>
  </si>
  <si>
    <t>Alienação de Investimentos/Imobilizado</t>
  </si>
  <si>
    <t>Amortização de emprestimo/financiamento</t>
  </si>
  <si>
    <t>Entrada</t>
  </si>
  <si>
    <t>SAQUE CAIXA ELETRONICO</t>
  </si>
  <si>
    <t>DOC PESSOA FISICA</t>
  </si>
  <si>
    <t>RECEBIMENTO CARTÃO DE DEBITO</t>
  </si>
  <si>
    <t>PAGAMENTO POR BOLETO</t>
  </si>
  <si>
    <t>PAGAMENTO POR BOLETO BANCARIO</t>
  </si>
  <si>
    <t>RECEBIMENTO CARTÃO DE CRÉDITO</t>
  </si>
  <si>
    <t>TED PESSOA JURIDICA</t>
  </si>
  <si>
    <t>TED PESSOA FISICA</t>
  </si>
  <si>
    <t>PIX PESSOA JURIDICA</t>
  </si>
  <si>
    <t>PAGAMENTO DE BOLETO</t>
  </si>
  <si>
    <t>PIX PESSOA FISICA</t>
  </si>
  <si>
    <t>Renda</t>
  </si>
  <si>
    <t>SALDO INICIAL</t>
  </si>
  <si>
    <t>Entradas (-) Saídas no mês</t>
  </si>
  <si>
    <t>Superavit ou Déficit</t>
  </si>
  <si>
    <t>(+) Emprestimo</t>
  </si>
  <si>
    <t xml:space="preserve">(-) Juros </t>
  </si>
  <si>
    <t>(-) Aplicação</t>
  </si>
  <si>
    <t xml:space="preserve">(+) Resgate </t>
  </si>
  <si>
    <t>Saldo Final em Caixa</t>
  </si>
  <si>
    <t>Caixa de Segurança</t>
  </si>
  <si>
    <t>Controle do Saldo da Aplicação</t>
  </si>
  <si>
    <t>FII's</t>
  </si>
  <si>
    <t>Investido</t>
  </si>
  <si>
    <t>Aplicado</t>
  </si>
  <si>
    <t>(-) Resgate</t>
  </si>
  <si>
    <t>Ações</t>
  </si>
  <si>
    <t>Renda Fixa</t>
  </si>
  <si>
    <t>Tesouro Direto</t>
  </si>
  <si>
    <t>Saldo final em aplicação</t>
  </si>
  <si>
    <t>Saldo Financeiro</t>
  </si>
  <si>
    <t>ENTRADA</t>
  </si>
  <si>
    <t>Data Saída</t>
  </si>
  <si>
    <t>Data Entrada</t>
  </si>
  <si>
    <t>SAIDA</t>
  </si>
  <si>
    <t>Tipo de Operação</t>
  </si>
  <si>
    <t>Entrada ou Saida</t>
  </si>
  <si>
    <t>CPF ou CNPJ</t>
  </si>
  <si>
    <t>Categoria do Pagto ou Recebimento</t>
  </si>
  <si>
    <t>Descrição do realizador</t>
  </si>
  <si>
    <t>Documento</t>
  </si>
  <si>
    <t>Valor da Operação ( amount )</t>
  </si>
  <si>
    <t>Saldo (balance)</t>
  </si>
  <si>
    <t>Pix</t>
  </si>
  <si>
    <t>PF</t>
  </si>
  <si>
    <t>Recebimentos</t>
  </si>
  <si>
    <t>Tiago Rodrigues Santos</t>
  </si>
  <si>
    <t>882.937.076-23</t>
  </si>
  <si>
    <t>Pagamento de Boleto</t>
  </si>
  <si>
    <t>Saída</t>
  </si>
  <si>
    <t>Não classificado</t>
  </si>
  <si>
    <t xml:space="preserve">Pagamento cartão de crédito </t>
  </si>
  <si>
    <t>PJ</t>
  </si>
  <si>
    <t>Pagamento Provedor</t>
  </si>
  <si>
    <t>Pluggy</t>
  </si>
  <si>
    <t>08.050.608/0001-32</t>
  </si>
  <si>
    <t>TED</t>
  </si>
  <si>
    <t>Recebimento Cartão de Débito</t>
  </si>
  <si>
    <t xml:space="preserve">Recebimento rede elo </t>
  </si>
  <si>
    <t>Recebimento Cartão de Crédito</t>
  </si>
  <si>
    <t>Recebimento por pagto cartão de crédito Rede VISA</t>
  </si>
  <si>
    <t>Pagto por boleto bancário</t>
  </si>
  <si>
    <t>Pagamento por Boleto Bancário</t>
  </si>
  <si>
    <t xml:space="preserve">Pagamento titulo outro banco internet </t>
  </si>
  <si>
    <t>Resgate de Aplicação Financeira</t>
  </si>
  <si>
    <t>movimentação própria</t>
  </si>
  <si>
    <t>Entrada de saldo por resgate Aut Contamax Empresarial</t>
  </si>
  <si>
    <t>Movimentação própria</t>
  </si>
  <si>
    <t xml:space="preserve">Recebimento por pagto cartão de débito getnet </t>
  </si>
  <si>
    <t>DOC</t>
  </si>
  <si>
    <t xml:space="preserve">Entrada de saldo por transferencia </t>
  </si>
  <si>
    <t>Saque Caixa Eletrônico</t>
  </si>
  <si>
    <t>Saque realizado caixa eletrônico</t>
  </si>
  <si>
    <t>Histórico</t>
  </si>
  <si>
    <t>Controle de Saldo de Aplicação</t>
  </si>
  <si>
    <t>Descrição Entrada</t>
  </si>
  <si>
    <t>Descrição Saída</t>
  </si>
  <si>
    <t>RESGATE DE APLICAÇÃO FINANCEIRA</t>
  </si>
  <si>
    <t>Valor de Entrada</t>
  </si>
  <si>
    <t>Valor de Saída</t>
  </si>
  <si>
    <t>RECEBIMENTO CARTÃO DE DÉBITO</t>
  </si>
  <si>
    <t>Recebimento de Pix por venda a Clientes</t>
  </si>
  <si>
    <t>C</t>
  </si>
  <si>
    <t>2.1.1.1</t>
  </si>
  <si>
    <t>Pagamento referente Cartão de Crédito</t>
  </si>
  <si>
    <t xml:space="preserve">C </t>
  </si>
  <si>
    <t>Pagamento referente Pluggy</t>
  </si>
  <si>
    <t>Recebimento de TED por venda a Clientes</t>
  </si>
  <si>
    <t>Recebimento referente Rede Elo</t>
  </si>
  <si>
    <t>Pagamento referente Banco Yamaha Motor</t>
  </si>
  <si>
    <t>Banco Yamaha Motor</t>
  </si>
  <si>
    <t>Bella Viola Madeiras</t>
  </si>
  <si>
    <t>2.1.1.2</t>
  </si>
  <si>
    <t>2.1.1.3</t>
  </si>
  <si>
    <t>Pagamento referente Bella Viola Madeiras</t>
  </si>
  <si>
    <t>Aplicação Financeira</t>
  </si>
  <si>
    <t xml:space="preserve">Recebimento referente pagto cartão de débito getnet </t>
  </si>
  <si>
    <t>Recebimento de DOC por venda a Clientes</t>
  </si>
  <si>
    <t>1.1.1</t>
  </si>
  <si>
    <t>Disponibilidades</t>
  </si>
  <si>
    <t>Software</t>
  </si>
  <si>
    <t>x</t>
  </si>
  <si>
    <t>Despesas Bancárias</t>
  </si>
  <si>
    <t>Saldo Inicial</t>
  </si>
  <si>
    <t>Saldo Final</t>
  </si>
  <si>
    <t>DRE</t>
  </si>
  <si>
    <t>Receita de Vendas</t>
  </si>
  <si>
    <t>Fluxo de Caixa Bancário</t>
  </si>
  <si>
    <t>Transferências Recebidas</t>
  </si>
  <si>
    <t>Regaste de Aplicação Financeira</t>
  </si>
  <si>
    <t>Recebimento de Cartão de Crédito/Débito</t>
  </si>
  <si>
    <t>Transferência de Valores</t>
  </si>
  <si>
    <t>0/8/2022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</si>
</sst>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7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_-[$R$-416]\ * #,##0.00_-;\-[$R$-416]\ * #,##0.00_-;_-[$R$-416]\ * &quot;-&quot;??_-;_-@_-"/>
    <numFmt numFmtId="165" formatCode="[$-F800]dddd\,\ mmmm\ dd\,\ yyyy"/>
    <numFmt numFmtId="166" formatCode="&quot;R$&quot;#,##0.00"/>
    <numFmt numFmtId="168" formatCode="d/m/yyyy"/>
    <numFmt numFmtId="169" formatCode="d\.m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Arial"/>
      <family val="2"/>
    </font>
    <font>
      <sz val="12"/>
      <color theme="1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b/>
      <sz val="14"/>
      <color theme="0"/>
      <name val="Arial"/>
      <family val="2"/>
    </font>
    <font>
      <i/>
      <sz val="12"/>
      <color theme="0"/>
      <name val="Arial"/>
      <family val="2"/>
    </font>
    <font>
      <i/>
      <sz val="12"/>
      <color theme="1"/>
      <name val="Arial"/>
      <family val="2"/>
    </font>
    <font>
      <i/>
      <sz val="12"/>
      <color rgb="FFFFFFFF"/>
      <name val="Arial"/>
      <family val="2"/>
    </font>
    <font>
      <b/>
      <i/>
      <sz val="12"/>
      <color theme="1"/>
      <name val="Arial"/>
      <family val="2"/>
    </font>
    <font>
      <b/>
      <sz val="12"/>
      <color theme="0"/>
      <name val="Arial"/>
      <family val="2"/>
    </font>
    <font>
      <b/>
      <i/>
      <sz val="12"/>
      <color theme="0"/>
      <name val="Arial"/>
      <family val="2"/>
    </font>
    <font>
      <sz val="10"/>
      <color theme="1"/>
      <name val="Calibri"/>
      <scheme val="minor"/>
    </font>
    <font>
      <sz val="10"/>
      <color theme="1"/>
      <name val="Arial"/>
    </font>
  </fonts>
  <fills count="1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theme="1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-0.249977111117893"/>
        <bgColor theme="8" tint="-0.249977111117893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7030A0"/>
        <bgColor theme="8"/>
      </patternFill>
    </fill>
    <fill>
      <patternFill patternType="solid">
        <fgColor rgb="FF002060"/>
        <bgColor theme="8" tint="-0.249977111117893"/>
      </patternFill>
    </fill>
    <fill>
      <patternFill patternType="solid">
        <fgColor rgb="FF005BC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theme="0"/>
      </top>
      <bottom/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137">
    <xf numFmtId="0" fontId="0" fillId="0" borderId="0" xfId="0"/>
    <xf numFmtId="0" fontId="10" fillId="0" borderId="0" xfId="0" applyFont="1"/>
    <xf numFmtId="44" fontId="10" fillId="0" borderId="0" xfId="1" applyFont="1"/>
    <xf numFmtId="164" fontId="10" fillId="0" borderId="0" xfId="0" applyNumberFormat="1" applyFont="1"/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center" vertical="center"/>
    </xf>
    <xf numFmtId="165" fontId="10" fillId="0" borderId="0" xfId="0" applyNumberFormat="1" applyFont="1"/>
    <xf numFmtId="0" fontId="6" fillId="0" borderId="0" xfId="0" applyFont="1"/>
    <xf numFmtId="0" fontId="6" fillId="0" borderId="0" xfId="0" applyFont="1" applyBorder="1"/>
    <xf numFmtId="0" fontId="9" fillId="2" borderId="0" xfId="0" applyFont="1" applyFill="1" applyBorder="1" applyAlignment="1">
      <alignment horizontal="left"/>
    </xf>
    <xf numFmtId="0" fontId="9" fillId="2" borderId="0" xfId="0" applyFont="1" applyFill="1" applyBorder="1"/>
    <xf numFmtId="0" fontId="9" fillId="3" borderId="0" xfId="0" applyFont="1" applyFill="1" applyBorder="1"/>
    <xf numFmtId="0" fontId="9" fillId="4" borderId="0" xfId="0" applyFont="1" applyFill="1" applyBorder="1"/>
    <xf numFmtId="0" fontId="12" fillId="0" borderId="0" xfId="0" applyFont="1" applyBorder="1"/>
    <xf numFmtId="0" fontId="5" fillId="0" borderId="0" xfId="0" applyFont="1" applyBorder="1"/>
    <xf numFmtId="0" fontId="9" fillId="6" borderId="0" xfId="0" applyFont="1" applyFill="1" applyBorder="1"/>
    <xf numFmtId="44" fontId="0" fillId="0" borderId="0" xfId="0" applyNumberFormat="1"/>
    <xf numFmtId="0" fontId="14" fillId="2" borderId="0" xfId="0" applyFont="1" applyFill="1" applyBorder="1"/>
    <xf numFmtId="0" fontId="15" fillId="0" borderId="0" xfId="0" applyFont="1" applyBorder="1"/>
    <xf numFmtId="44" fontId="14" fillId="2" borderId="0" xfId="0" applyNumberFormat="1" applyFont="1" applyFill="1" applyBorder="1"/>
    <xf numFmtId="0" fontId="16" fillId="3" borderId="0" xfId="0" applyFont="1" applyFill="1" applyBorder="1"/>
    <xf numFmtId="44" fontId="16" fillId="3" borderId="0" xfId="0" applyNumberFormat="1" applyFont="1" applyFill="1" applyBorder="1"/>
    <xf numFmtId="0" fontId="16" fillId="4" borderId="0" xfId="0" applyFont="1" applyFill="1" applyBorder="1"/>
    <xf numFmtId="44" fontId="16" fillId="4" borderId="0" xfId="0" applyNumberFormat="1" applyFont="1" applyFill="1" applyBorder="1"/>
    <xf numFmtId="0" fontId="17" fillId="0" borderId="0" xfId="0" applyFont="1" applyBorder="1"/>
    <xf numFmtId="44" fontId="17" fillId="0" borderId="0" xfId="0" applyNumberFormat="1" applyFont="1" applyBorder="1"/>
    <xf numFmtId="44" fontId="15" fillId="0" borderId="0" xfId="0" applyNumberFormat="1" applyFont="1" applyBorder="1"/>
    <xf numFmtId="0" fontId="14" fillId="4" borderId="0" xfId="0" applyFont="1" applyFill="1" applyBorder="1"/>
    <xf numFmtId="44" fontId="14" fillId="4" borderId="0" xfId="0" applyNumberFormat="1" applyFont="1" applyFill="1" applyBorder="1"/>
    <xf numFmtId="0" fontId="16" fillId="5" borderId="0" xfId="0" applyFont="1" applyFill="1" applyBorder="1"/>
    <xf numFmtId="44" fontId="16" fillId="5" borderId="0" xfId="0" applyNumberFormat="1" applyFont="1" applyFill="1" applyBorder="1"/>
    <xf numFmtId="0" fontId="14" fillId="3" borderId="0" xfId="0" applyFont="1" applyFill="1" applyBorder="1"/>
    <xf numFmtId="44" fontId="14" fillId="3" borderId="0" xfId="0" applyNumberFormat="1" applyFont="1" applyFill="1" applyBorder="1"/>
    <xf numFmtId="0" fontId="4" fillId="0" borderId="0" xfId="0" applyFont="1" applyBorder="1"/>
    <xf numFmtId="0" fontId="4" fillId="0" borderId="0" xfId="0" applyFont="1" applyFill="1" applyBorder="1"/>
    <xf numFmtId="0" fontId="3" fillId="0" borderId="0" xfId="0" applyFont="1"/>
    <xf numFmtId="0" fontId="3" fillId="0" borderId="8" xfId="0" applyFont="1" applyBorder="1" applyAlignment="1">
      <alignment horizontal="center"/>
    </xf>
    <xf numFmtId="0" fontId="3" fillId="0" borderId="9" xfId="0" applyFont="1" applyBorder="1"/>
    <xf numFmtId="166" fontId="3" fillId="0" borderId="10" xfId="0" applyNumberFormat="1" applyFont="1" applyBorder="1"/>
    <xf numFmtId="0" fontId="3" fillId="0" borderId="1" xfId="0" applyFont="1" applyBorder="1" applyAlignment="1">
      <alignment horizontal="center"/>
    </xf>
    <xf numFmtId="166" fontId="3" fillId="0" borderId="2" xfId="0" applyNumberFormat="1" applyFont="1" applyBorder="1"/>
    <xf numFmtId="0" fontId="3" fillId="0" borderId="3" xfId="0" applyFont="1" applyBorder="1" applyAlignment="1">
      <alignment horizontal="center"/>
    </xf>
    <xf numFmtId="0" fontId="3" fillId="0" borderId="11" xfId="0" applyFont="1" applyBorder="1"/>
    <xf numFmtId="166" fontId="3" fillId="0" borderId="4" xfId="0" applyNumberFormat="1" applyFont="1" applyBorder="1"/>
    <xf numFmtId="0" fontId="3" fillId="0" borderId="0" xfId="0" applyFont="1" applyBorder="1"/>
    <xf numFmtId="0" fontId="12" fillId="0" borderId="0" xfId="0" applyFont="1"/>
    <xf numFmtId="0" fontId="3" fillId="0" borderId="0" xfId="0" applyFont="1" applyAlignment="1">
      <alignment horizontal="center"/>
    </xf>
    <xf numFmtId="0" fontId="18" fillId="3" borderId="5" xfId="0" applyFont="1" applyFill="1" applyBorder="1" applyAlignment="1">
      <alignment horizontal="center"/>
    </xf>
    <xf numFmtId="0" fontId="18" fillId="3" borderId="7" xfId="0" applyFont="1" applyFill="1" applyBorder="1"/>
    <xf numFmtId="166" fontId="18" fillId="3" borderId="6" xfId="0" applyNumberFormat="1" applyFont="1" applyFill="1" applyBorder="1"/>
    <xf numFmtId="0" fontId="18" fillId="2" borderId="1" xfId="0" applyFont="1" applyFill="1" applyBorder="1" applyAlignment="1">
      <alignment horizontal="center"/>
    </xf>
    <xf numFmtId="0" fontId="18" fillId="2" borderId="0" xfId="0" applyFont="1" applyFill="1"/>
    <xf numFmtId="166" fontId="18" fillId="2" borderId="2" xfId="0" applyNumberFormat="1" applyFont="1" applyFill="1" applyBorder="1"/>
    <xf numFmtId="0" fontId="18" fillId="6" borderId="1" xfId="0" applyFont="1" applyFill="1" applyBorder="1" applyAlignment="1">
      <alignment horizontal="center"/>
    </xf>
    <xf numFmtId="0" fontId="18" fillId="6" borderId="0" xfId="0" applyFont="1" applyFill="1"/>
    <xf numFmtId="166" fontId="18" fillId="6" borderId="2" xfId="0" applyNumberFormat="1" applyFont="1" applyFill="1" applyBorder="1"/>
    <xf numFmtId="0" fontId="18" fillId="6" borderId="3" xfId="0" applyFont="1" applyFill="1" applyBorder="1" applyAlignment="1">
      <alignment horizontal="center"/>
    </xf>
    <xf numFmtId="0" fontId="18" fillId="6" borderId="11" xfId="0" applyFont="1" applyFill="1" applyBorder="1"/>
    <xf numFmtId="166" fontId="18" fillId="6" borderId="4" xfId="0" applyNumberFormat="1" applyFont="1" applyFill="1" applyBorder="1"/>
    <xf numFmtId="0" fontId="0" fillId="0" borderId="12" xfId="0" applyBorder="1"/>
    <xf numFmtId="0" fontId="18" fillId="8" borderId="0" xfId="0" applyFont="1" applyFill="1"/>
    <xf numFmtId="44" fontId="18" fillId="8" borderId="0" xfId="0" applyNumberFormat="1" applyFont="1" applyFill="1"/>
    <xf numFmtId="0" fontId="9" fillId="8" borderId="0" xfId="0" applyFont="1" applyFill="1"/>
    <xf numFmtId="44" fontId="9" fillId="8" borderId="0" xfId="0" applyNumberFormat="1" applyFont="1" applyFill="1"/>
    <xf numFmtId="0" fontId="18" fillId="11" borderId="0" xfId="0" applyFont="1" applyFill="1"/>
    <xf numFmtId="44" fontId="9" fillId="11" borderId="0" xfId="1" applyFont="1" applyFill="1" applyBorder="1"/>
    <xf numFmtId="44" fontId="18" fillId="2" borderId="0" xfId="0" applyNumberFormat="1" applyFont="1" applyFill="1"/>
    <xf numFmtId="9" fontId="18" fillId="2" borderId="0" xfId="0" applyNumberFormat="1" applyFont="1" applyFill="1"/>
    <xf numFmtId="44" fontId="18" fillId="11" borderId="0" xfId="1" applyFont="1" applyFill="1" applyBorder="1" applyAlignment="1"/>
    <xf numFmtId="44" fontId="12" fillId="0" borderId="0" xfId="1" applyFont="1" applyBorder="1"/>
    <xf numFmtId="0" fontId="13" fillId="6" borderId="0" xfId="0" applyFont="1" applyFill="1"/>
    <xf numFmtId="44" fontId="13" fillId="6" borderId="0" xfId="0" applyNumberFormat="1" applyFont="1" applyFill="1"/>
    <xf numFmtId="0" fontId="18" fillId="9" borderId="0" xfId="0" applyFont="1" applyFill="1" applyBorder="1"/>
    <xf numFmtId="44" fontId="18" fillId="9" borderId="0" xfId="0" applyNumberFormat="1" applyFont="1" applyFill="1" applyBorder="1"/>
    <xf numFmtId="0" fontId="18" fillId="8" borderId="13" xfId="0" applyFont="1" applyFill="1" applyBorder="1"/>
    <xf numFmtId="44" fontId="18" fillId="8" borderId="13" xfId="0" applyNumberFormat="1" applyFont="1" applyFill="1" applyBorder="1"/>
    <xf numFmtId="0" fontId="9" fillId="10" borderId="0" xfId="0" applyFont="1" applyFill="1"/>
    <xf numFmtId="44" fontId="9" fillId="10" borderId="0" xfId="0" applyNumberFormat="1" applyFont="1" applyFill="1"/>
    <xf numFmtId="0" fontId="18" fillId="7" borderId="0" xfId="0" applyFont="1" applyFill="1" applyBorder="1"/>
    <xf numFmtId="44" fontId="18" fillId="7" borderId="0" xfId="0" applyNumberFormat="1" applyFont="1" applyFill="1" applyBorder="1"/>
    <xf numFmtId="0" fontId="18" fillId="7" borderId="0" xfId="0" applyFont="1" applyFill="1" applyBorder="1" applyAlignment="1">
      <alignment horizontal="center"/>
    </xf>
    <xf numFmtId="0" fontId="9" fillId="8" borderId="13" xfId="0" applyFont="1" applyFill="1" applyBorder="1" applyAlignment="1">
      <alignment horizont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14" fontId="0" fillId="0" borderId="12" xfId="0" applyNumberFormat="1" applyBorder="1" applyAlignment="1">
      <alignment horizontal="center" vertical="center"/>
    </xf>
    <xf numFmtId="8" fontId="0" fillId="0" borderId="12" xfId="0" applyNumberFormat="1" applyBorder="1"/>
    <xf numFmtId="0" fontId="0" fillId="0" borderId="0" xfId="0" applyAlignment="1">
      <alignment horizontal="center" vertical="center"/>
    </xf>
    <xf numFmtId="14" fontId="3" fillId="0" borderId="0" xfId="0" applyNumberFormat="1" applyFont="1"/>
    <xf numFmtId="0" fontId="9" fillId="13" borderId="0" xfId="0" applyFont="1" applyFill="1"/>
    <xf numFmtId="44" fontId="9" fillId="13" borderId="0" xfId="0" applyNumberFormat="1" applyFont="1" applyFill="1"/>
    <xf numFmtId="0" fontId="13" fillId="13" borderId="0" xfId="0" applyFont="1" applyFill="1"/>
    <xf numFmtId="44" fontId="13" fillId="13" borderId="0" xfId="0" applyNumberFormat="1" applyFont="1" applyFill="1"/>
    <xf numFmtId="14" fontId="9" fillId="0" borderId="0" xfId="0" applyNumberFormat="1" applyFont="1" applyFill="1" applyBorder="1" applyAlignment="1">
      <alignment horizontal="center"/>
    </xf>
    <xf numFmtId="44" fontId="9" fillId="0" borderId="0" xfId="0" applyNumberFormat="1" applyFont="1" applyFill="1" applyBorder="1" applyAlignment="1">
      <alignment horizontal="center" vertical="center"/>
    </xf>
    <xf numFmtId="14" fontId="9" fillId="0" borderId="0" xfId="0" applyNumberFormat="1" applyFont="1" applyFill="1" applyBorder="1" applyAlignment="1">
      <alignment horizontal="center" vertical="center"/>
    </xf>
    <xf numFmtId="0" fontId="9" fillId="0" borderId="0" xfId="0" applyFont="1" applyFill="1" applyBorder="1"/>
    <xf numFmtId="44" fontId="9" fillId="0" borderId="0" xfId="0" applyNumberFormat="1" applyFont="1" applyFill="1" applyBorder="1"/>
    <xf numFmtId="0" fontId="9" fillId="0" borderId="0" xfId="0" applyFont="1" applyFill="1" applyBorder="1" applyAlignment="1">
      <alignment horizontal="center"/>
    </xf>
    <xf numFmtId="0" fontId="14" fillId="2" borderId="0" xfId="0" applyFont="1" applyFill="1" applyBorder="1" applyAlignment="1">
      <alignment horizontal="center"/>
    </xf>
    <xf numFmtId="0" fontId="18" fillId="4" borderId="0" xfId="0" applyFont="1" applyFill="1" applyBorder="1"/>
    <xf numFmtId="0" fontId="19" fillId="4" borderId="0" xfId="0" applyFont="1" applyFill="1" applyBorder="1"/>
    <xf numFmtId="0" fontId="2" fillId="0" borderId="0" xfId="0" applyFont="1" applyBorder="1"/>
    <xf numFmtId="0" fontId="2" fillId="0" borderId="0" xfId="0" applyFont="1"/>
    <xf numFmtId="0" fontId="19" fillId="2" borderId="0" xfId="0" applyFont="1" applyFill="1" applyBorder="1"/>
    <xf numFmtId="0" fontId="1" fillId="0" borderId="0" xfId="0" applyFont="1"/>
    <xf numFmtId="44" fontId="1" fillId="0" borderId="0" xfId="0" applyNumberFormat="1" applyFont="1"/>
    <xf numFmtId="0" fontId="1" fillId="0" borderId="0" xfId="0" applyFont="1" applyAlignment="1">
      <alignment horizontal="center"/>
    </xf>
    <xf numFmtId="164" fontId="1" fillId="0" borderId="0" xfId="0" applyNumberFormat="1" applyFont="1"/>
    <xf numFmtId="44" fontId="3" fillId="0" borderId="0" xfId="1" applyFont="1"/>
    <xf numFmtId="0" fontId="1" fillId="0" borderId="0" xfId="0" applyFont="1" applyBorder="1"/>
    <xf numFmtId="44" fontId="10" fillId="0" borderId="0" xfId="0" applyNumberFormat="1" applyFont="1"/>
    <xf numFmtId="0" fontId="15" fillId="0" borderId="0" xfId="0" applyFont="1"/>
    <xf numFmtId="44" fontId="15" fillId="0" borderId="0" xfId="1" applyFont="1" applyBorder="1"/>
    <xf numFmtId="44" fontId="15" fillId="0" borderId="0" xfId="1" applyFont="1"/>
    <xf numFmtId="0" fontId="9" fillId="11" borderId="0" xfId="0" applyFont="1" applyFill="1"/>
    <xf numFmtId="0" fontId="1" fillId="2" borderId="0" xfId="0" applyFont="1" applyFill="1"/>
    <xf numFmtId="0" fontId="1" fillId="11" borderId="0" xfId="0" applyFont="1" applyFill="1"/>
    <xf numFmtId="44" fontId="1" fillId="0" borderId="0" xfId="1" applyFont="1" applyBorder="1"/>
    <xf numFmtId="0" fontId="1" fillId="8" borderId="0" xfId="0" applyFont="1" applyFill="1"/>
    <xf numFmtId="0" fontId="1" fillId="0" borderId="0" xfId="0" applyFont="1" applyFill="1" applyBorder="1"/>
    <xf numFmtId="14" fontId="1" fillId="0" borderId="0" xfId="0" applyNumberFormat="1" applyFont="1" applyFill="1" applyBorder="1" applyAlignment="1">
      <alignment horizontal="center" vertical="center"/>
    </xf>
    <xf numFmtId="0" fontId="18" fillId="2" borderId="5" xfId="0" applyFont="1" applyFill="1" applyBorder="1" applyAlignment="1">
      <alignment horizontal="center"/>
    </xf>
    <xf numFmtId="0" fontId="18" fillId="2" borderId="7" xfId="0" applyFont="1" applyFill="1" applyBorder="1" applyAlignment="1">
      <alignment horizontal="center"/>
    </xf>
    <xf numFmtId="0" fontId="18" fillId="2" borderId="6" xfId="0" applyFont="1" applyFill="1" applyBorder="1" applyAlignment="1">
      <alignment horizontal="center"/>
    </xf>
    <xf numFmtId="0" fontId="13" fillId="8" borderId="0" xfId="0" applyFont="1" applyFill="1" applyAlignment="1">
      <alignment horizontal="center"/>
    </xf>
    <xf numFmtId="0" fontId="13" fillId="12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10" fillId="3" borderId="0" xfId="0" applyFont="1" applyFill="1"/>
    <xf numFmtId="0" fontId="0" fillId="14" borderId="0" xfId="0" applyFill="1"/>
    <xf numFmtId="0" fontId="20" fillId="0" borderId="0" xfId="0" applyFont="1"/>
    <xf numFmtId="168" fontId="20" fillId="0" borderId="0" xfId="0" applyNumberFormat="1" applyFont="1"/>
    <xf numFmtId="169" fontId="20" fillId="0" borderId="0" xfId="0" applyNumberFormat="1" applyFont="1"/>
    <xf numFmtId="0" fontId="21" fillId="0" borderId="0" xfId="0" applyFont="1"/>
    <xf numFmtId="168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169" fontId="21" fillId="0" borderId="0" xfId="0" applyNumberFormat="1" applyFont="1" applyAlignment="1">
      <alignment horizontal="right"/>
    </xf>
  </cellXfs>
  <cellStyles count="2">
    <cellStyle name="Moeda" xfId="1" builtinId="4"/>
    <cellStyle name="Normal" xfId="0" builtinId="0"/>
  </cellStyles>
  <dxfs count="11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theme="8" tint="-0.249977111117893"/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 tint="-0.249977111117893"/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 tint="-0.249977111117893"/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numFmt numFmtId="19" formatCode="dd/mm/yyyy"/>
      <fill>
        <patternFill patternType="none">
          <fgColor indexed="64"/>
          <bgColor auto="1"/>
        </patternFill>
      </fill>
      <alignment horizont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solid">
          <fgColor theme="8" tint="-0.249977111117893"/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numFmt numFmtId="34" formatCode="_-&quot;R$&quot;\ * #,##0.00_-;\-&quot;R$&quot;\ * #,##0.00_-;_-&quot;R$&quot;\ * &quot;-&quot;??_-;_-@_-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 tint="-0.249977111117893"/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theme="8" tint="-0.249977111117893"/>
          <bgColor theme="8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4" formatCode="_-&quot;R$&quot;\ * #,##0.00_-;\-&quot;R$&quot;\ * #,##0.00_-;_-&quot;R$&quot;\ * &quot;-&quot;??_-;_-@_-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4" formatCode="_-&quot;R$&quot;\ * #,##0.00_-;\-&quot;R$&quot;\ * #,##0.00_-;_-&quot;R$&quot;\ * &quot;-&quot;??_-;_-@_-"/>
      <border diagonalUp="0" diagonalDown="0" outline="0">
        <left/>
        <right/>
        <top/>
        <bottom/>
      </border>
    </dxf>
    <dxf>
      <font>
        <i/>
        <sz val="12"/>
        <name val="Arial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/>
        <bottom/>
      </border>
    </dxf>
    <dxf>
      <font>
        <i/>
        <sz val="12"/>
        <name val="Arial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/>
        <bottom/>
      </border>
    </dxf>
    <dxf>
      <font>
        <i/>
        <sz val="12"/>
        <name val="Arial"/>
      </font>
    </dxf>
    <dxf>
      <font>
        <i/>
        <sz val="12"/>
        <name val="Arial"/>
      </font>
      <numFmt numFmtId="167" formatCode="#,000%"/>
    </dxf>
    <dxf>
      <font>
        <i/>
        <sz val="12"/>
        <name val="Arial"/>
      </font>
      <numFmt numFmtId="167" formatCode="#,000%"/>
    </dxf>
    <dxf>
      <font>
        <i/>
        <strike val="0"/>
        <outline val="0"/>
        <shadow val="0"/>
        <u val="none"/>
        <vertAlign val="baseline"/>
        <sz val="12"/>
        <color theme="0"/>
        <name val="Arial"/>
        <scheme val="minor"/>
      </font>
      <numFmt numFmtId="14" formatCode="0.00%"/>
      <fill>
        <patternFill patternType="solid">
          <fgColor indexed="64"/>
          <bgColor rgb="FF002060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4" formatCode="_-&quot;R$&quot;\ * #,##0.00_-;\-&quot;R$&quot;\ * #,##0.00_-;_-&quot;R$&quot;\ * &quot;-&quot;??_-;_-@_-"/>
      <border diagonalUp="0" diagonalDown="0" outline="0">
        <left/>
        <right/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4" formatCode="_-&quot;R$&quot;\ * #,##0.00_-;\-&quot;R$&quot;\ * #,##0.00_-;_-&quot;R$&quot;\ * &quot;-&quot;??_-;_-@_-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i/>
        <sz val="12"/>
        <name val="Arial"/>
      </font>
      <numFmt numFmtId="167" formatCode="#,000%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7" formatCode="#,000%"/>
    </dxf>
    <dxf>
      <font>
        <i/>
        <strike val="0"/>
        <outline val="0"/>
        <shadow val="0"/>
        <u val="none"/>
        <vertAlign val="baseline"/>
        <sz val="12"/>
        <color theme="0"/>
        <name val="Arial"/>
        <scheme val="minor"/>
      </font>
      <numFmt numFmtId="14" formatCode="0.00%"/>
      <fill>
        <patternFill patternType="solid"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4" formatCode="_-&quot;R$&quot;\ * #,##0.00_-;\-&quot;R$&quot;\ * #,##0.00_-;_-&quot;R$&quot;\ * &quot;-&quot;??_-;_-@_-"/>
      <border diagonalUp="0" diagonalDown="0" outline="0">
        <left/>
        <right/>
        <top/>
        <bottom/>
      </border>
    </dxf>
    <dxf>
      <font>
        <i/>
        <sz val="12"/>
        <name val="Arial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/>
        <bottom/>
      </border>
    </dxf>
    <dxf>
      <font>
        <i/>
        <sz val="12"/>
        <name val="Arial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/>
        <bottom/>
      </border>
    </dxf>
    <dxf>
      <font>
        <i/>
        <sz val="12"/>
        <name val="Arial"/>
      </font>
    </dxf>
    <dxf>
      <font>
        <i/>
        <sz val="12"/>
        <name val="Arial"/>
      </font>
      <numFmt numFmtId="167" formatCode="#,000%"/>
    </dxf>
    <dxf>
      <font>
        <i/>
        <sz val="12"/>
        <name val="Arial"/>
      </font>
      <numFmt numFmtId="167" formatCode="#,000%"/>
    </dxf>
    <dxf>
      <font>
        <i/>
        <strike val="0"/>
        <outline val="0"/>
        <shadow val="0"/>
        <u val="none"/>
        <vertAlign val="baseline"/>
        <sz val="12"/>
        <color theme="0"/>
        <name val="Arial"/>
        <scheme val="minor"/>
      </font>
      <numFmt numFmtId="14" formatCode="0.00%"/>
      <fill>
        <patternFill patternType="solid">
          <fgColor indexed="64"/>
          <bgColor rgb="FF002060"/>
        </patternFill>
      </fill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34" formatCode="_-&quot;R$&quot;\ * #,##0.00_-;\-&quot;R$&quot;\ * #,##0.00_-;_-&quot;R$&quot;\ * &quot;-&quot;??_-;_-@_-"/>
      <border diagonalUp="0" diagonalDown="0" outline="0">
        <left/>
        <right/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  <numFmt numFmtId="34" formatCode="_-&quot;R$&quot;\ * #,##0.00_-;\-&quot;R$&quot;\ * #,##0.00_-;_-&quot;R$&quot;\ * &quot;-&quot;??_-;_-@_-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border diagonalUp="0" diagonalDown="0" outline="0">
        <left/>
        <right/>
        <top/>
        <bottom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minor"/>
      </font>
    </dxf>
    <dxf>
      <font>
        <i/>
        <sz val="12"/>
        <name val="Arial"/>
      </font>
      <numFmt numFmtId="167" formatCode="#,000%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67" formatCode="#,000%"/>
    </dxf>
    <dxf>
      <font>
        <i/>
        <strike val="0"/>
        <outline val="0"/>
        <shadow val="0"/>
        <u val="none"/>
        <vertAlign val="baseline"/>
        <sz val="12"/>
        <color theme="0"/>
        <name val="Arial"/>
        <scheme val="minor"/>
      </font>
      <numFmt numFmtId="14" formatCode="0.00%"/>
      <fill>
        <patternFill patternType="solid">
          <fgColor indexed="64"/>
          <bgColor rgb="FF00206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2"/>
        <color theme="0"/>
        <name val="Arial"/>
        <family val="2"/>
        <scheme val="none"/>
      </font>
      <fill>
        <patternFill patternType="solid">
          <fgColor indexed="64"/>
          <bgColor rgb="FF7030A0"/>
        </patternFill>
      </fill>
    </dxf>
    <dxf>
      <border>
        <left style="thin">
          <color theme="9"/>
        </left>
      </border>
    </dxf>
    <dxf>
      <border>
        <left style="thin">
          <color theme="9"/>
        </left>
      </border>
    </dxf>
    <dxf>
      <border>
        <top style="thin">
          <color theme="9"/>
        </top>
      </border>
    </dxf>
    <dxf>
      <border>
        <top style="thin">
          <color theme="9"/>
        </top>
      </border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9"/>
        </top>
      </border>
    </dxf>
    <dxf>
      <font>
        <b/>
        <color theme="0"/>
      </font>
      <fill>
        <patternFill patternType="solid">
          <fgColor theme="9"/>
          <bgColor theme="9"/>
        </patternFill>
      </fill>
    </dxf>
    <dxf>
      <font>
        <color theme="1"/>
      </font>
      <border>
        <left style="thick">
          <color rgb="FF002060"/>
        </left>
        <right style="thick">
          <color rgb="FF002060"/>
        </right>
        <top style="thick">
          <color rgb="FF002060"/>
        </top>
        <bottom style="thick">
          <color rgb="FF002060"/>
        </bottom>
        <vertical style="thick">
          <color rgb="FF002060"/>
        </vertical>
        <horizontal style="medium">
          <color rgb="FF0070C0"/>
        </horizontal>
      </border>
    </dxf>
  </dxfs>
  <tableStyles count="1" defaultTableStyle="BP" defaultPivotStyle="PivotStyleLight16">
    <tableStyle name="BP" pivot="0" count="9" xr9:uid="{003E0CBB-2B64-47E6-8A4F-F826AC60D793}">
      <tableStyleElement type="wholeTable" dxfId="118"/>
      <tableStyleElement type="headerRow" dxfId="117"/>
      <tableStyleElement type="totalRow" dxfId="116"/>
      <tableStyleElement type="firstColumn" dxfId="115"/>
      <tableStyleElement type="lastColumn" dxfId="114"/>
      <tableStyleElement type="firstRowStripe" dxfId="113"/>
      <tableStyleElement type="secondRowStripe" dxfId="112"/>
      <tableStyleElement type="firstColumnStripe" dxfId="111"/>
      <tableStyleElement type="secondColumnStripe" dxfId="110"/>
    </tableStyle>
  </tableStyles>
  <colors>
    <mruColors>
      <color rgb="FF005B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'Fluxo Caixa'!$I$2</c:f>
              <c:strCache>
                <c:ptCount val="1"/>
                <c:pt idx="0">
                  <c:v>Valor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627-43F3-8ED8-580795BEB246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627-43F3-8ED8-580795BEB246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D627-43F3-8ED8-580795BEB246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D627-43F3-8ED8-580795BEB246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D627-43F3-8ED8-580795BEB246}"/>
              </c:ext>
            </c:extLst>
          </c:dPt>
          <c:cat>
            <c:strRef>
              <c:f>'Fluxo Caixa'!$H$3:$H$7</c:f>
              <c:strCache>
                <c:ptCount val="5"/>
                <c:pt idx="0">
                  <c:v>Transferências Recebidas</c:v>
                </c:pt>
                <c:pt idx="1">
                  <c:v>Regaste de Aplicação Financeira</c:v>
                </c:pt>
                <c:pt idx="2">
                  <c:v>Recebimento de Cartão de Crédito/Débito</c:v>
                </c:pt>
                <c:pt idx="3">
                  <c:v>Transferência de Valores</c:v>
                </c:pt>
                <c:pt idx="4">
                  <c:v>Pagamento de Boleto</c:v>
                </c:pt>
              </c:strCache>
            </c:strRef>
          </c:cat>
          <c:val>
            <c:numRef>
              <c:f>'Fluxo Caixa'!$I$3:$I$7</c:f>
              <c:numCache>
                <c:formatCode>_("R$"* #,##0.00_);_("R$"* \(#,##0.00\);_("R$"* "-"??_);_(@_)</c:formatCode>
                <c:ptCount val="5"/>
                <c:pt idx="0">
                  <c:v>16900.78</c:v>
                </c:pt>
                <c:pt idx="1">
                  <c:v>19.46</c:v>
                </c:pt>
                <c:pt idx="2">
                  <c:v>1460.0200000000002</c:v>
                </c:pt>
                <c:pt idx="3">
                  <c:v>501.02</c:v>
                </c:pt>
                <c:pt idx="4">
                  <c:v>16644.990000000002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B-4DB8-9A3B-56DE4BC702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</xdr:colOff>
      <xdr:row>7</xdr:row>
      <xdr:rowOff>45720</xdr:rowOff>
    </xdr:from>
    <xdr:to>
      <xdr:col>10</xdr:col>
      <xdr:colOff>434340</xdr:colOff>
      <xdr:row>23</xdr:row>
      <xdr:rowOff>160020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50179036-D2CB-A478-5238-090287D557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2362baaecfb9e39/Contabilidade/Contabilidade/An&#225;lise%20de%20Balan&#231;os/2&#176;%20Semestre/08%20-%20DFC%20na%20pr&#225;tic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2362baaecfb9e39/&#193;rea%20Pessoal/Pessoa%20F&#237;sica/2022/Fluxo%20de%20Caixa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FC "/>
      <sheetName val="DFC - Direto"/>
      <sheetName val="DFC aula 9"/>
      <sheetName val="DFC - Direto Aula 9"/>
      <sheetName val="Planilha1"/>
      <sheetName val="DFC - Direto Aula 9 (2)"/>
    </sheetNames>
    <sheetDataSet>
      <sheetData sheetId="0"/>
      <sheetData sheetId="1"/>
      <sheetData sheetId="2">
        <row r="5">
          <cell r="A5" t="str">
            <v>Tít.a Receber</v>
          </cell>
        </row>
      </sheetData>
      <sheetData sheetId="3"/>
      <sheetData sheetId="4"/>
      <sheetData sheetId="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çamento"/>
      <sheetName val="Jan"/>
      <sheetName val="Fev"/>
      <sheetName val="Mar"/>
      <sheetName val="Abr"/>
      <sheetName val="Mai"/>
      <sheetName val="Jun"/>
      <sheetName val="Jul"/>
      <sheetName val="Ago"/>
      <sheetName val="Set"/>
      <sheetName val="Out"/>
      <sheetName val="Nov"/>
      <sheetName val="Dez"/>
      <sheetName val="Planilh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45">
          <cell r="J45">
            <v>1977.7500000000002</v>
          </cell>
        </row>
        <row r="49">
          <cell r="J49">
            <v>721.92</v>
          </cell>
        </row>
        <row r="53">
          <cell r="J53">
            <v>5635</v>
          </cell>
        </row>
        <row r="57">
          <cell r="J57">
            <v>0</v>
          </cell>
        </row>
      </sheetData>
      <sheetData sheetId="10"/>
      <sheetData sheetId="11"/>
      <sheetData sheetId="12"/>
      <sheetData sheetId="13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4309A38A-6F50-4B08-924A-14ACA70B4597}" name="Plano_De_Contas" displayName="Plano_De_Contas" ref="A1:C35" headerRowDxfId="109" dataDxfId="108">
  <autoFilter ref="A1:C35" xr:uid="{4309A38A-6F50-4B08-924A-14ACA70B4597}"/>
  <tableColumns count="3">
    <tableColumn id="1" xr3:uid="{8CAD9E68-1E82-4606-A859-4D0A0EFBBAA1}" name="Código" totalsRowLabel="Total" dataDxfId="107" totalsRowDxfId="106"/>
    <tableColumn id="2" xr3:uid="{4A9C02B9-AD7D-44B0-9E97-72EFA1C9F068}" name="Descrição" dataDxfId="105" totalsRowDxfId="104"/>
    <tableColumn id="3" xr3:uid="{D0025685-0BBD-4EE7-B37D-D6FA0B0D7DAD}" name="Natureza" totalsRowFunction="count" dataDxfId="103" totalsRowDxfId="102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46648D-647F-46FF-8C27-F252F693815A}" name="Tabela32" displayName="Tabela32" ref="A2:C15" totalsRowCount="1" headerRowDxfId="101" dataDxfId="100" totalsRowDxfId="99">
  <autoFilter ref="A2:C14" xr:uid="{F3EE480E-2C45-42CC-87BD-6FFE75E45AF8}"/>
  <tableColumns count="3">
    <tableColumn id="1" xr3:uid="{D8B13B54-ED29-4323-B89C-ACC816B85C1C}" name="1." totalsRowLabel="Total" dataDxfId="98" totalsRowDxfId="97"/>
    <tableColumn id="2" xr3:uid="{D90F0613-BD28-4595-A44E-862C137F95EE}" name="Ativo" dataDxfId="96" totalsRowDxfId="95">
      <calculatedColumnFormula>VLOOKUP(A3,'Plano de Contas '!A:B,2,0)</calculatedColumnFormula>
    </tableColumn>
    <tableColumn id="3" xr3:uid="{4E00C49A-A2EF-43E8-B38B-593D9E13BE23}" name="Valor" totalsRowFunction="custom" dataDxfId="94" totalsRowDxfId="93">
      <totalsRowFormula>SUM(C13+C3)</totalsRowFormula>
    </tableColumn>
  </tableColumns>
  <tableStyleInfo name="TableStyleMedium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67877A9-B6B7-41F4-9328-C054B65366BD}" name="Tabela63" displayName="Tabela63" ref="A19:C32" totalsRowCount="1" headerRowDxfId="92" dataDxfId="91" totalsRowDxfId="90">
  <autoFilter ref="A19:C31" xr:uid="{0CED4C25-28A6-4F0D-88A0-53D7133B7BA8}"/>
  <tableColumns count="3">
    <tableColumn id="1" xr3:uid="{2C8E3E6D-117C-4D79-9380-EFDAF3D49235}" name="2." totalsRowLabel="Total" dataDxfId="89" totalsRowDxfId="88"/>
    <tableColumn id="2" xr3:uid="{2D724424-0257-4F8C-8D9C-3C0CBF729664}" name="Passivo" dataDxfId="87" totalsRowDxfId="86">
      <calculatedColumnFormula>'Plano de Contas '!B16</calculatedColumnFormula>
    </tableColumn>
    <tableColumn id="3" xr3:uid="{898AFCE3-8C91-4477-AD54-B2D2CD846246}" name="Valor" totalsRowFunction="custom" dataDxfId="85" totalsRowDxfId="84">
      <totalsRowFormula>SUM(C27)</totalsRow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68E1D0C-80D2-4638-AA33-740A7A6BA9CF}" name="Tabela2585" displayName="Tabela2585" ref="A1:J28" totalsRowCount="1" headerRowDxfId="83" dataDxfId="82">
  <autoFilter ref="A1:J27" xr:uid="{5105B75C-887E-48A1-BFB0-A4C3D3E0E7FF}"/>
  <tableColumns count="10">
    <tableColumn id="1" xr3:uid="{F2E157D1-76C6-4F5F-9D93-E9982D610F18}" name="Data" dataDxfId="81" totalsRowDxfId="80"/>
    <tableColumn id="11" xr3:uid="{77366BD5-2E1F-408E-9B91-46B831681932}" name="Código" totalsRowLabel="Total" dataDxfId="79" totalsRowDxfId="78"/>
    <tableColumn id="2" xr3:uid="{73D1EA52-A6F7-4A33-9298-14C73B54A642}" name="Nome da Conta" dataDxfId="77" totalsRowDxfId="76">
      <calculatedColumnFormula>VLOOKUP(B2,'Plano de Contas '!A:B,2,0)</calculatedColumnFormula>
    </tableColumn>
    <tableColumn id="3" xr3:uid="{377BBF92-BE01-4941-9214-07A9A2C763A2}" name="Histórico" dataDxfId="75" totalsRowDxfId="74"/>
    <tableColumn id="4" xr3:uid="{5DABA6D7-E76B-4ED4-A6BC-DF4B91C7B632}" name="Valor " totalsRowFunction="sum" dataDxfId="73" totalsRowDxfId="72" dataCellStyle="Moeda"/>
    <tableColumn id="6" xr3:uid="{DAE25E19-D718-4C6A-8FC4-184C05177B0D}" name="D/C" dataDxfId="71" totalsRowDxfId="70">
      <calculatedColumnFormula>VLOOKUP(B2,#REF!,3,)</calculatedColumnFormula>
    </tableColumn>
    <tableColumn id="7" xr3:uid="{81E31C16-6CBA-4561-9A49-0D55B57048CB}" name="Código Nivel I" dataDxfId="69" totalsRowDxfId="68">
      <calculatedColumnFormula>LEFT(B2,2)</calculatedColumnFormula>
    </tableColumn>
    <tableColumn id="8" xr3:uid="{8781902C-EBD3-4679-9D89-56A075C0C9A6}" name="Tipo da Conta" dataDxfId="67" totalsRowDxfId="66">
      <calculatedColumnFormula>VLOOKUP(G2,'Plano de Contas '!A:B,2,0)</calculatedColumnFormula>
    </tableColumn>
    <tableColumn id="9" xr3:uid="{F4EDEDD0-7498-44AD-A75B-834DFE94A788}" name="Código Nivel 2" dataDxfId="65" totalsRowDxfId="64">
      <calculatedColumnFormula>LEFT(B2,3)</calculatedColumnFormula>
    </tableColumn>
    <tableColumn id="10" xr3:uid="{4A0FB5E8-4304-45DA-B8AF-1F7B4706E0D0}" name="Subgrupo" dataDxfId="63" totalsRowDxfId="62">
      <calculatedColumnFormula>VLOOKUP(I2,'Plano de Contas '!A:B,2,0)</calculatedColumnFormula>
    </tableColumn>
  </tableColumns>
  <tableStyleInfo name="TableStyleMedium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52B8875-7A6B-4AB9-89AC-C59AE640E87B}" name="Tabela25859" displayName="Tabela25859" ref="A1:J12" totalsRowCount="1" headerRowDxfId="61" dataDxfId="60">
  <autoFilter ref="A1:J11" xr:uid="{5105B75C-887E-48A1-BFB0-A4C3D3E0E7FF}"/>
  <tableColumns count="10">
    <tableColumn id="11" xr3:uid="{D43823DB-CDE9-4527-8D97-EDA0957789C1}" name="Código" totalsRowLabel="Total" dataDxfId="59" totalsRowDxfId="58"/>
    <tableColumn id="2" xr3:uid="{E64C1AAC-0733-4CFA-97C7-A56A82595401}" name="Nome da Conta" dataDxfId="57" totalsRowDxfId="56">
      <calculatedColumnFormula>VLOOKUP(Tabela25859[[#This Row],[Código]],Plano_De_Contas[],2,0)</calculatedColumnFormula>
    </tableColumn>
    <tableColumn id="3" xr3:uid="{05C54BDC-794C-4822-B23B-F2C34C30F075}" name="Saldo Inicial" dataDxfId="55" totalsRowDxfId="54" dataCellStyle="Moeda"/>
    <tableColumn id="4" xr3:uid="{9D179371-7F4F-4080-BA3D-F5FBFEB14401}" name="Entrada" dataDxfId="53" totalsRowDxfId="52" dataCellStyle="Moeda"/>
    <tableColumn id="6" xr3:uid="{7048A507-A813-4CB0-B5C6-1640427BBD10}" name="Saída" dataDxfId="51" totalsRowDxfId="50" dataCellStyle="Moeda"/>
    <tableColumn id="1" xr3:uid="{EE3879CC-1769-49C8-8FA6-151FFF9D0F17}" name="Saldo Final" dataDxfId="49" totalsRowDxfId="48" dataCellStyle="Moeda">
      <calculatedColumnFormula>SUM((Tabela25859[[#This Row],[Saldo Inicial]]+Tabela25859[[#This Row],[Entrada]])-Tabela25859[[#This Row],[Saída]])</calculatedColumnFormula>
    </tableColumn>
    <tableColumn id="7" xr3:uid="{6A05353A-3C5E-4CA1-8899-022DDC92D046}" name="Código Nivel I" dataDxfId="47" totalsRowDxfId="46">
      <calculatedColumnFormula>LEFT(A2,2)</calculatedColumnFormula>
    </tableColumn>
    <tableColumn id="8" xr3:uid="{B5C840F6-4231-4460-8362-3DE6E0C57268}" name="Tipo da Conta" dataDxfId="45" totalsRowDxfId="44">
      <calculatedColumnFormula>VLOOKUP(G2,'Plano de Contas '!A:B,2,0)</calculatedColumnFormula>
    </tableColumn>
    <tableColumn id="9" xr3:uid="{A42E0B6B-2195-43D6-8EF4-F01C3AD5F389}" name="Código Nivel 2" dataDxfId="43" totalsRowDxfId="42">
      <calculatedColumnFormula>LEFT(A2,3)</calculatedColumnFormula>
    </tableColumn>
    <tableColumn id="10" xr3:uid="{B3FD0C1D-9CE4-44BB-A371-FA8F2119323B}" name="Subgrupo" dataDxfId="41" totalsRowDxfId="40">
      <calculatedColumnFormula>VLOOKUP(I2,'Plano de Contas '!A:B,2,0)</calculatedColumnFormula>
    </tableColumn>
  </tableColumns>
  <tableStyleInfo name="TableStyleMedium10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D0DAA0E-917F-40B4-B3BA-A1A993A497BD}" name="Tabela327" displayName="Tabela327" ref="A2:C15" totalsRowCount="1" headerRowDxfId="39" dataDxfId="38" totalsRowDxfId="37">
  <autoFilter ref="A2:C14" xr:uid="{F3EE480E-2C45-42CC-87BD-6FFE75E45AF8}"/>
  <tableColumns count="3">
    <tableColumn id="1" xr3:uid="{ED0A315A-C411-4372-AF80-515B5CED0E10}" name="1." totalsRowLabel="Total" dataDxfId="36" totalsRowDxfId="35"/>
    <tableColumn id="2" xr3:uid="{CE1ECF41-D72F-42FE-90DA-0902D8B516A9}" name="Ativo" dataDxfId="34" totalsRowDxfId="33">
      <calculatedColumnFormula>VLOOKUP(A3,'Plano de Contas '!A:B,2,0)</calculatedColumnFormula>
    </tableColumn>
    <tableColumn id="3" xr3:uid="{A1178350-D700-433C-B40C-F8117D726C33}" name="Valor" totalsRowFunction="custom" dataDxfId="32" totalsRowDxfId="31">
      <totalsRowFormula>SUM(C13+C3)</totalsRowFormula>
    </tableColumn>
  </tableColumns>
  <tableStyleInfo name="TableStyleMedium1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5128088-5A43-499B-A036-C6DE45115F0E}" name="Tabela638" displayName="Tabela638" ref="A19:C32" totalsRowCount="1" headerRowDxfId="30" dataDxfId="29" totalsRowDxfId="28">
  <autoFilter ref="A19:C31" xr:uid="{0CED4C25-28A6-4F0D-88A0-53D7133B7BA8}"/>
  <tableColumns count="3">
    <tableColumn id="1" xr3:uid="{12CA3C1F-8EBF-4F15-AB81-7FCDCD316B1A}" name="2." totalsRowLabel="Total" dataDxfId="27" totalsRowDxfId="26"/>
    <tableColumn id="2" xr3:uid="{8B702BAD-C8A8-43F5-8471-F81960E65DAF}" name="Passivo" dataDxfId="25" totalsRowDxfId="24">
      <calculatedColumnFormula>'Plano de Contas '!B16</calculatedColumnFormula>
    </tableColumn>
    <tableColumn id="3" xr3:uid="{7F12AF8F-5C90-4876-B82A-E3BCB9EAEBE7}" name="Valor" totalsRowFunction="custom" dataDxfId="23" totalsRowDxfId="22">
      <totalsRowFormula>SUM(C27)</totalsRow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2C2A2C3-0BAE-4833-8E3D-1405B44ADA52}" name="Tabela9" displayName="Tabela9" ref="B34:C37" totalsRowCount="1">
  <autoFilter ref="B34:C36" xr:uid="{B2C2A2C3-0BAE-4833-8E3D-1405B44ADA52}"/>
  <tableColumns count="2">
    <tableColumn id="1" xr3:uid="{819508E8-995B-4521-B7D6-7978EDB99F3C}" name="DRE" totalsRowLabel="Total" dataDxfId="21" totalsRowDxfId="20"/>
    <tableColumn id="2" xr3:uid="{2FBA3F68-21D8-4F5B-B5AB-F7C68D046F96}" name="Valor" totalsRowFunction="custom" dataDxfId="19" totalsRowDxfId="18" dataCellStyle="Moeda" totalsRowCellStyle="Moeda">
      <calculatedColumnFormula>Razonete!F11</calculatedColumnFormula>
      <totalsRowFormula>SUM(C35-C36)</totalsRowFormula>
    </tableColumn>
  </tableColumns>
  <tableStyleInfo name="TableStyleDark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C1C3A211-E1A5-4576-B844-318C888C0EFD}" name="Tabela14" displayName="Tabela14" ref="A6:F20" totalsRowCount="1" headerRowDxfId="17" dataDxfId="16" totalsRowDxfId="15">
  <autoFilter ref="A6:F19" xr:uid="{C1C3A211-E1A5-4576-B844-318C888C0EFD}"/>
  <tableColumns count="6">
    <tableColumn id="1" xr3:uid="{2DFF7C69-EBFD-41C8-A68F-05B38AB5A9F0}" name="Data Entrada" totalsRowLabel="Total" dataDxfId="14" totalsRowDxfId="13"/>
    <tableColumn id="3" xr3:uid="{6BD8A4C1-1626-48C4-B7EB-80A474562857}" name="Descrição Entrada" dataDxfId="12" totalsRowDxfId="11"/>
    <tableColumn id="4" xr3:uid="{C798567F-A29E-4E84-BADB-817254877AAB}" name="Valor de Entrada" totalsRowFunction="custom" dataDxfId="10" totalsRowDxfId="9">
      <totalsRowFormula>SUM(Tabela14[Valor de Entrada])</totalsRowFormula>
    </tableColumn>
    <tableColumn id="7" xr3:uid="{BC2A6FE7-1141-458D-81D6-5408B7DB64FA}" name="Data Saída" dataDxfId="8" totalsRowDxfId="7"/>
    <tableColumn id="5" xr3:uid="{E9C2D9CD-44B3-4E00-91EB-F798BFEAE175}" name="Descrição Saída" dataDxfId="6" totalsRowDxfId="5"/>
    <tableColumn id="6" xr3:uid="{BF946B1D-D572-4E30-A440-8B4C262DC0E3}" name="Valor de Saída" totalsRowFunction="custom" dataDxfId="4" totalsRowDxfId="3">
      <totalsRowFormula>SUM(Tabela14[Valor de Saída])</totalsRowFormula>
    </tableColumn>
  </tableColumns>
  <tableStyleInfo name="TableStyleDark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AF575C2-EE71-4BD8-B39B-D4679A93A31E}" name="Tabela10" displayName="Tabela10" ref="H2:I7" totalsRowShown="0" headerRowDxfId="2">
  <autoFilter ref="H2:I7" xr:uid="{9AF575C2-EE71-4BD8-B39B-D4679A93A31E}"/>
  <tableColumns count="2">
    <tableColumn id="1" xr3:uid="{51CF35B2-015C-4540-A024-B0BDB3588416}" name="Descrição" dataDxfId="1"/>
    <tableColumn id="2" xr3:uid="{11BCCC86-E66D-47FC-8560-35464002722F}" name="Valor" dataDxfId="0"/>
  </tableColumns>
  <tableStyleInfo name="TableStyleDark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5.bin"/><Relationship Id="rId4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opLeftCell="A14" workbookViewId="0">
      <selection activeCell="E29" sqref="E29"/>
    </sheetView>
  </sheetViews>
  <sheetFormatPr defaultColWidth="9.109375" defaultRowHeight="15" x14ac:dyDescent="0.25"/>
  <cols>
    <col min="1" max="1" width="11.5546875" style="7" bestFit="1" customWidth="1"/>
    <col min="2" max="2" width="42.109375" style="7" bestFit="1" customWidth="1"/>
    <col min="3" max="3" width="12.44140625" style="7" bestFit="1" customWidth="1"/>
    <col min="4" max="4" width="9.109375" style="1"/>
    <col min="5" max="5" width="39.5546875" style="1" bestFit="1" customWidth="1"/>
    <col min="6" max="16384" width="9.109375" style="1"/>
  </cols>
  <sheetData>
    <row r="1" spans="1:4" x14ac:dyDescent="0.25">
      <c r="A1" s="15" t="s">
        <v>0</v>
      </c>
      <c r="B1" s="15" t="s">
        <v>1</v>
      </c>
      <c r="C1" s="15" t="s">
        <v>2</v>
      </c>
      <c r="D1" s="7"/>
    </row>
    <row r="2" spans="1:4" x14ac:dyDescent="0.25">
      <c r="A2" s="9" t="s">
        <v>3</v>
      </c>
      <c r="B2" s="10" t="s">
        <v>4</v>
      </c>
      <c r="C2" s="10" t="s">
        <v>5</v>
      </c>
      <c r="D2" s="7"/>
    </row>
    <row r="3" spans="1:4" x14ac:dyDescent="0.25">
      <c r="A3" s="11" t="s">
        <v>6</v>
      </c>
      <c r="B3" s="11" t="s">
        <v>7</v>
      </c>
      <c r="C3" s="11" t="s">
        <v>5</v>
      </c>
      <c r="D3" s="7"/>
    </row>
    <row r="4" spans="1:4" ht="15.6" x14ac:dyDescent="0.3">
      <c r="A4" s="100" t="s">
        <v>206</v>
      </c>
      <c r="B4" s="100" t="s">
        <v>207</v>
      </c>
      <c r="C4" s="100" t="s">
        <v>5</v>
      </c>
      <c r="D4" s="7"/>
    </row>
    <row r="5" spans="1:4" ht="15.6" x14ac:dyDescent="0.3">
      <c r="A5" s="13" t="s">
        <v>8</v>
      </c>
      <c r="B5" s="13" t="s">
        <v>9</v>
      </c>
      <c r="C5" s="13" t="s">
        <v>5</v>
      </c>
      <c r="D5" s="7"/>
    </row>
    <row r="6" spans="1:4" ht="15.6" x14ac:dyDescent="0.3">
      <c r="A6" s="13" t="s">
        <v>10</v>
      </c>
      <c r="B6" s="13" t="s">
        <v>11</v>
      </c>
      <c r="C6" s="13" t="s">
        <v>5</v>
      </c>
      <c r="D6" s="7"/>
    </row>
    <row r="7" spans="1:4" x14ac:dyDescent="0.25">
      <c r="A7" s="8" t="s">
        <v>12</v>
      </c>
      <c r="B7" s="44" t="s">
        <v>98</v>
      </c>
      <c r="C7" s="8" t="s">
        <v>5</v>
      </c>
      <c r="D7" s="7"/>
    </row>
    <row r="8" spans="1:4" ht="15.6" x14ac:dyDescent="0.3">
      <c r="A8" s="13" t="s">
        <v>13</v>
      </c>
      <c r="B8" s="13" t="s">
        <v>60</v>
      </c>
      <c r="C8" s="13" t="s">
        <v>5</v>
      </c>
      <c r="D8" s="7"/>
    </row>
    <row r="9" spans="1:4" x14ac:dyDescent="0.25">
      <c r="A9" s="8" t="s">
        <v>14</v>
      </c>
      <c r="B9" s="44" t="s">
        <v>203</v>
      </c>
      <c r="C9" s="8" t="s">
        <v>5</v>
      </c>
      <c r="D9" s="7"/>
    </row>
    <row r="10" spans="1:4" ht="15.6" x14ac:dyDescent="0.3">
      <c r="A10" s="13" t="s">
        <v>59</v>
      </c>
      <c r="B10" s="13" t="s">
        <v>65</v>
      </c>
      <c r="C10" s="13" t="s">
        <v>5</v>
      </c>
      <c r="D10" s="7"/>
    </row>
    <row r="11" spans="1:4" x14ac:dyDescent="0.25">
      <c r="A11" s="14" t="s">
        <v>61</v>
      </c>
      <c r="B11" s="33" t="s">
        <v>154</v>
      </c>
      <c r="C11" s="14" t="s">
        <v>5</v>
      </c>
    </row>
    <row r="12" spans="1:4" x14ac:dyDescent="0.25">
      <c r="A12" s="11" t="s">
        <v>16</v>
      </c>
      <c r="B12" s="11" t="s">
        <v>17</v>
      </c>
      <c r="C12" s="11" t="s">
        <v>5</v>
      </c>
    </row>
    <row r="13" spans="1:4" x14ac:dyDescent="0.25">
      <c r="A13" s="12" t="s">
        <v>18</v>
      </c>
      <c r="B13" s="12" t="s">
        <v>19</v>
      </c>
      <c r="C13" s="12" t="s">
        <v>5</v>
      </c>
    </row>
    <row r="14" spans="1:4" x14ac:dyDescent="0.25">
      <c r="A14" s="8" t="s">
        <v>20</v>
      </c>
      <c r="B14" s="102" t="s">
        <v>208</v>
      </c>
      <c r="C14" s="8" t="s">
        <v>5</v>
      </c>
    </row>
    <row r="15" spans="1:4" x14ac:dyDescent="0.25">
      <c r="A15" s="9" t="s">
        <v>21</v>
      </c>
      <c r="B15" s="10" t="s">
        <v>22</v>
      </c>
      <c r="C15" s="10" t="s">
        <v>15</v>
      </c>
    </row>
    <row r="16" spans="1:4" x14ac:dyDescent="0.25">
      <c r="A16" s="11" t="s">
        <v>23</v>
      </c>
      <c r="B16" s="11" t="s">
        <v>24</v>
      </c>
      <c r="C16" s="11" t="s">
        <v>15</v>
      </c>
    </row>
    <row r="17" spans="1:5" x14ac:dyDescent="0.25">
      <c r="A17" s="8" t="s">
        <v>25</v>
      </c>
      <c r="B17" s="33" t="s">
        <v>66</v>
      </c>
      <c r="C17" s="8" t="s">
        <v>15</v>
      </c>
    </row>
    <row r="18" spans="1:5" x14ac:dyDescent="0.25">
      <c r="A18" s="44" t="s">
        <v>191</v>
      </c>
      <c r="B18" s="44" t="s">
        <v>162</v>
      </c>
      <c r="C18" s="8" t="s">
        <v>15</v>
      </c>
    </row>
    <row r="19" spans="1:5" x14ac:dyDescent="0.25">
      <c r="A19" s="44" t="s">
        <v>200</v>
      </c>
      <c r="B19" s="44" t="s">
        <v>198</v>
      </c>
      <c r="C19" s="8" t="s">
        <v>15</v>
      </c>
    </row>
    <row r="20" spans="1:5" x14ac:dyDescent="0.25">
      <c r="A20" s="44" t="s">
        <v>201</v>
      </c>
      <c r="B20" s="44" t="s">
        <v>199</v>
      </c>
      <c r="C20" s="8" t="s">
        <v>15</v>
      </c>
    </row>
    <row r="21" spans="1:5" x14ac:dyDescent="0.25">
      <c r="A21" s="8" t="s">
        <v>26</v>
      </c>
      <c r="B21" s="33" t="s">
        <v>67</v>
      </c>
      <c r="C21" s="8" t="s">
        <v>15</v>
      </c>
    </row>
    <row r="22" spans="1:5" x14ac:dyDescent="0.25">
      <c r="A22" s="8" t="s">
        <v>27</v>
      </c>
      <c r="B22" s="8" t="s">
        <v>28</v>
      </c>
      <c r="C22" s="8" t="s">
        <v>15</v>
      </c>
    </row>
    <row r="23" spans="1:5" x14ac:dyDescent="0.25">
      <c r="A23" s="11" t="s">
        <v>29</v>
      </c>
      <c r="B23" s="11" t="s">
        <v>30</v>
      </c>
      <c r="C23" s="11" t="s">
        <v>15</v>
      </c>
    </row>
    <row r="24" spans="1:5" x14ac:dyDescent="0.25">
      <c r="A24" s="34" t="s">
        <v>31</v>
      </c>
      <c r="B24" s="34" t="s">
        <v>69</v>
      </c>
      <c r="C24" s="34" t="s">
        <v>15</v>
      </c>
    </row>
    <row r="25" spans="1:5" x14ac:dyDescent="0.25">
      <c r="A25" s="33" t="s">
        <v>32</v>
      </c>
      <c r="B25" s="33" t="s">
        <v>70</v>
      </c>
      <c r="C25" s="8" t="s">
        <v>15</v>
      </c>
    </row>
    <row r="26" spans="1:5" x14ac:dyDescent="0.25">
      <c r="A26" s="33" t="s">
        <v>68</v>
      </c>
      <c r="B26" s="33" t="s">
        <v>71</v>
      </c>
      <c r="C26" s="8" t="s">
        <v>5</v>
      </c>
    </row>
    <row r="27" spans="1:5" x14ac:dyDescent="0.25">
      <c r="A27" s="33" t="s">
        <v>73</v>
      </c>
      <c r="B27" s="33" t="s">
        <v>72</v>
      </c>
      <c r="C27" s="33" t="s">
        <v>15</v>
      </c>
    </row>
    <row r="28" spans="1:5" x14ac:dyDescent="0.25">
      <c r="A28" s="10" t="s">
        <v>33</v>
      </c>
      <c r="B28" s="10" t="s">
        <v>34</v>
      </c>
      <c r="C28" s="10" t="s">
        <v>5</v>
      </c>
    </row>
    <row r="29" spans="1:5" x14ac:dyDescent="0.25">
      <c r="A29" s="11" t="s">
        <v>35</v>
      </c>
      <c r="B29" s="11" t="s">
        <v>76</v>
      </c>
      <c r="C29" s="11" t="s">
        <v>5</v>
      </c>
      <c r="E29" s="128"/>
    </row>
    <row r="30" spans="1:5" x14ac:dyDescent="0.25">
      <c r="A30" s="8" t="s">
        <v>36</v>
      </c>
      <c r="B30" s="105" t="s">
        <v>210</v>
      </c>
      <c r="C30" s="8" t="s">
        <v>5</v>
      </c>
    </row>
    <row r="31" spans="1:5" x14ac:dyDescent="0.25">
      <c r="A31" s="10" t="s">
        <v>37</v>
      </c>
      <c r="B31" s="10" t="s">
        <v>38</v>
      </c>
      <c r="C31" s="10" t="s">
        <v>15</v>
      </c>
    </row>
    <row r="32" spans="1:5" x14ac:dyDescent="0.25">
      <c r="A32" s="11" t="s">
        <v>39</v>
      </c>
      <c r="B32" s="11" t="s">
        <v>75</v>
      </c>
      <c r="C32" s="11" t="s">
        <v>15</v>
      </c>
    </row>
    <row r="33" spans="1:3" x14ac:dyDescent="0.25">
      <c r="A33" s="8" t="s">
        <v>40</v>
      </c>
      <c r="B33" s="33" t="s">
        <v>74</v>
      </c>
      <c r="C33" s="8" t="s">
        <v>15</v>
      </c>
    </row>
    <row r="34" spans="1:3" x14ac:dyDescent="0.25">
      <c r="A34" s="10" t="s">
        <v>41</v>
      </c>
      <c r="B34" s="10" t="s">
        <v>42</v>
      </c>
      <c r="C34" s="10" t="s">
        <v>15</v>
      </c>
    </row>
    <row r="35" spans="1:3" x14ac:dyDescent="0.25">
      <c r="A35" s="11" t="s">
        <v>43</v>
      </c>
      <c r="B35" s="11" t="s">
        <v>44</v>
      </c>
      <c r="C35" s="11" t="s">
        <v>15</v>
      </c>
    </row>
  </sheetData>
  <phoneticPr fontId="7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65CF2-7819-4D39-9E33-82FCEB13DA90}">
  <dimension ref="A1"/>
  <sheetViews>
    <sheetView workbookViewId="0">
      <selection activeCell="D9" sqref="D9"/>
    </sheetView>
  </sheetViews>
  <sheetFormatPr defaultRowHeight="14.4" x14ac:dyDescent="0.3"/>
  <cols>
    <col min="1" max="16384" width="8.88671875" style="129"/>
  </cols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C13E-399B-4645-A355-C66B71E7A62E}">
  <dimension ref="A1:AA64"/>
  <sheetViews>
    <sheetView workbookViewId="0">
      <selection activeCell="B1" sqref="B1"/>
    </sheetView>
  </sheetViews>
  <sheetFormatPr defaultColWidth="9.109375" defaultRowHeight="15.6" x14ac:dyDescent="0.3"/>
  <cols>
    <col min="1" max="1" width="10.109375" style="18" bestFit="1" customWidth="1"/>
    <col min="2" max="2" width="37.6640625" style="18" bestFit="1" customWidth="1"/>
    <col min="3" max="3" width="20.6640625" style="26" customWidth="1"/>
    <col min="4" max="8" width="20.6640625" customWidth="1"/>
    <col min="9" max="9" width="37.33203125" bestFit="1" customWidth="1"/>
    <col min="10" max="15" width="20.6640625" customWidth="1"/>
    <col min="28" max="16384" width="9.109375" style="18"/>
  </cols>
  <sheetData>
    <row r="1" spans="1:27" x14ac:dyDescent="0.3">
      <c r="A1" s="104" t="s">
        <v>0</v>
      </c>
      <c r="B1" s="104" t="s">
        <v>54</v>
      </c>
      <c r="C1" s="99"/>
    </row>
    <row r="2" spans="1:27" x14ac:dyDescent="0.3">
      <c r="A2" s="17" t="s">
        <v>3</v>
      </c>
      <c r="B2" s="17" t="s">
        <v>4</v>
      </c>
      <c r="C2" s="19" t="s">
        <v>56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x14ac:dyDescent="0.3">
      <c r="A3" s="20" t="s">
        <v>6</v>
      </c>
      <c r="B3" s="20" t="str">
        <f>VLOOKUP(A3,'Plano de Contas '!A:B,2,0)</f>
        <v>Ativo Circulante</v>
      </c>
      <c r="C3" s="21">
        <f>SUM(C4+C10)</f>
        <v>20000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x14ac:dyDescent="0.3">
      <c r="A4" s="22" t="s">
        <v>206</v>
      </c>
      <c r="B4" s="101" t="str">
        <f>VLOOKUP(A4,'Plano de Contas '!A:B,2,0)</f>
        <v>Disponibilidades</v>
      </c>
      <c r="C4" s="23">
        <f>SUM(C5+C6+C8)</f>
        <v>5000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s="24" customFormat="1" x14ac:dyDescent="0.3">
      <c r="A5" s="24" t="s">
        <v>8</v>
      </c>
      <c r="B5" s="24" t="str">
        <f>VLOOKUP(A5,'Plano de Contas '!A:B,2,0)</f>
        <v>Caixa</v>
      </c>
      <c r="C5" s="25">
        <v>4950</v>
      </c>
      <c r="D5"/>
      <c r="E5"/>
      <c r="F5"/>
      <c r="G5"/>
      <c r="H5"/>
      <c r="I5"/>
      <c r="J5"/>
      <c r="K5"/>
      <c r="L5"/>
      <c r="M5"/>
      <c r="N5"/>
      <c r="O5"/>
    </row>
    <row r="6" spans="1:27" s="24" customFormat="1" x14ac:dyDescent="0.3">
      <c r="A6" s="24" t="s">
        <v>10</v>
      </c>
      <c r="B6" s="24" t="str">
        <f>VLOOKUP(A6,'Plano de Contas '!A:B,2,0)</f>
        <v>Banco/Conta/Movimento</v>
      </c>
      <c r="C6" s="25">
        <f>SUM(C7:C7)</f>
        <v>0</v>
      </c>
      <c r="D6"/>
      <c r="E6"/>
      <c r="F6"/>
      <c r="G6"/>
      <c r="H6"/>
      <c r="I6"/>
      <c r="J6"/>
      <c r="K6"/>
      <c r="L6"/>
      <c r="M6"/>
      <c r="N6"/>
      <c r="O6"/>
    </row>
    <row r="7" spans="1:27" x14ac:dyDescent="0.3">
      <c r="A7" s="18" t="s">
        <v>12</v>
      </c>
      <c r="B7" s="18" t="str">
        <f>VLOOKUP(A7,'Plano de Contas '!A:B,2,0)</f>
        <v>Banco 8 (C/C)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s="24" customFormat="1" x14ac:dyDescent="0.3">
      <c r="A8" s="24" t="s">
        <v>13</v>
      </c>
      <c r="B8" s="24" t="str">
        <f>VLOOKUP(A8,'Plano de Contas '!A:B,2,0)</f>
        <v>Aplicação Liquidez Imediata</v>
      </c>
      <c r="C8" s="25">
        <f>SUM(C9:C9)</f>
        <v>50</v>
      </c>
      <c r="D8"/>
      <c r="E8"/>
      <c r="F8"/>
      <c r="G8"/>
      <c r="H8"/>
      <c r="I8"/>
      <c r="J8"/>
      <c r="K8"/>
      <c r="L8"/>
      <c r="M8"/>
      <c r="N8"/>
      <c r="O8"/>
    </row>
    <row r="9" spans="1:27" x14ac:dyDescent="0.3">
      <c r="A9" s="18" t="s">
        <v>14</v>
      </c>
      <c r="B9" s="18" t="str">
        <f>VLOOKUP(A9,'Plano de Contas '!A:B,2,0)</f>
        <v>Aplicação Financeira</v>
      </c>
      <c r="C9" s="26">
        <v>50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x14ac:dyDescent="0.3">
      <c r="A10" s="24" t="s">
        <v>59</v>
      </c>
      <c r="B10" s="24" t="str">
        <f>VLOOKUP(A10,'Plano de Contas '!A:B,2,0)</f>
        <v>Clientes</v>
      </c>
      <c r="C10" s="25">
        <f>SUM(C11:C11)</f>
        <v>15000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3">
      <c r="A11" s="18" t="s">
        <v>61</v>
      </c>
      <c r="B11" s="18" t="str">
        <f>VLOOKUP(A11,'Plano de Contas '!A:B,2,0)</f>
        <v>Tiago Rodrigues Santos</v>
      </c>
      <c r="C11" s="26">
        <v>15000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3">
      <c r="A12" s="20" t="s">
        <v>16</v>
      </c>
      <c r="B12" s="20" t="str">
        <f>VLOOKUP(A12,'Plano de Contas '!A:B,2,0)</f>
        <v xml:space="preserve">Ativo não cicurlante </v>
      </c>
      <c r="C12" s="21">
        <v>95000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3">
      <c r="A13" s="27" t="s">
        <v>18</v>
      </c>
      <c r="B13" s="27" t="str">
        <f>VLOOKUP(A13,'Plano de Contas '!A:B,2,0)</f>
        <v>Imobilizado</v>
      </c>
      <c r="C13" s="28">
        <f>SUM(C14)</f>
        <v>95000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3">
      <c r="A14" s="24" t="s">
        <v>20</v>
      </c>
      <c r="B14" s="24" t="str">
        <f>VLOOKUP(A14,'Plano de Contas '!A:B,2,0)</f>
        <v>Software</v>
      </c>
      <c r="C14" s="25">
        <v>95000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x14ac:dyDescent="0.3">
      <c r="A15" s="24" t="s">
        <v>53</v>
      </c>
      <c r="B15" s="24"/>
      <c r="C15" s="25">
        <f>SUM(C13+C3)</f>
        <v>115000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s="24" customFormat="1" x14ac:dyDescent="0.3">
      <c r="A16" s="29"/>
      <c r="B16" s="29" t="s">
        <v>57</v>
      </c>
      <c r="C16" s="30">
        <f>Tabela32[[#Totals],[Valor]]</f>
        <v>115000</v>
      </c>
      <c r="D16"/>
      <c r="E16"/>
      <c r="F16"/>
      <c r="G16"/>
      <c r="H16"/>
      <c r="I16"/>
      <c r="J16"/>
      <c r="K16"/>
      <c r="L16"/>
      <c r="M16"/>
      <c r="N16"/>
      <c r="O16"/>
    </row>
    <row r="17" spans="1:27" x14ac:dyDescent="0.3">
      <c r="A17" s="29"/>
      <c r="B17" s="29" t="s">
        <v>58</v>
      </c>
      <c r="C17" s="30">
        <f>Tabela63[[#Totals],[Valor]]</f>
        <v>115000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s="24" customFormat="1" x14ac:dyDescent="0.3">
      <c r="A18" s="17" t="s">
        <v>0</v>
      </c>
      <c r="B18" s="17" t="s">
        <v>54</v>
      </c>
      <c r="C18" s="99" t="s">
        <v>55</v>
      </c>
      <c r="D18"/>
      <c r="E18"/>
      <c r="F18"/>
      <c r="G18"/>
      <c r="H18"/>
      <c r="I18"/>
      <c r="J18"/>
      <c r="K18"/>
      <c r="L18"/>
      <c r="M18"/>
      <c r="N18"/>
      <c r="O18"/>
    </row>
    <row r="19" spans="1:27" x14ac:dyDescent="0.3">
      <c r="A19" s="17" t="s">
        <v>21</v>
      </c>
      <c r="B19" s="17" t="s">
        <v>22</v>
      </c>
      <c r="C19" s="19" t="s">
        <v>56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s="24" customFormat="1" x14ac:dyDescent="0.3">
      <c r="A20" s="31" t="s">
        <v>23</v>
      </c>
      <c r="B20" s="31" t="str">
        <f>'Plano de Contas '!B16</f>
        <v>Passivo circulante</v>
      </c>
      <c r="C20" s="32">
        <f>SUM(C21:C26)</f>
        <v>0</v>
      </c>
      <c r="D20"/>
      <c r="E20"/>
      <c r="F20"/>
      <c r="G20"/>
      <c r="H20"/>
      <c r="I20"/>
      <c r="J20"/>
      <c r="K20"/>
      <c r="L20"/>
      <c r="M20"/>
      <c r="N20"/>
      <c r="O20"/>
    </row>
    <row r="21" spans="1:27" x14ac:dyDescent="0.3">
      <c r="A21" s="24" t="s">
        <v>25</v>
      </c>
      <c r="B21" s="24" t="str">
        <f>'Plano de Contas '!B17</f>
        <v>Fornecedores</v>
      </c>
      <c r="C21" s="25">
        <f>SUM(C22:C24)</f>
        <v>0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3">
      <c r="A22" s="18" t="s">
        <v>191</v>
      </c>
      <c r="B22" s="18" t="str">
        <f>'Plano de Contas '!B18</f>
        <v>Pluggy</v>
      </c>
      <c r="C22" s="26">
        <v>0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3">
      <c r="A23" s="18" t="s">
        <v>200</v>
      </c>
      <c r="B23" s="18" t="str">
        <f>'Plano de Contas '!B19</f>
        <v>Banco Yamaha Motor</v>
      </c>
      <c r="C23" s="26">
        <v>0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3">
      <c r="A24" s="18" t="s">
        <v>201</v>
      </c>
      <c r="B24" s="18" t="str">
        <f>'Plano de Contas '!B20</f>
        <v>Bella Viola Madeiras</v>
      </c>
      <c r="C24" s="26">
        <v>0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s="24" customFormat="1" x14ac:dyDescent="0.3">
      <c r="A25" s="24" t="s">
        <v>26</v>
      </c>
      <c r="B25" s="24" t="str">
        <f>'Plano de Contas '!B21</f>
        <v>Empréstimos e Financiamentos</v>
      </c>
      <c r="C25" s="25">
        <v>0</v>
      </c>
      <c r="D25"/>
      <c r="E25"/>
      <c r="F25"/>
      <c r="G25"/>
      <c r="H25"/>
      <c r="I25"/>
      <c r="J25"/>
      <c r="K25"/>
      <c r="L25"/>
      <c r="M25"/>
      <c r="N25"/>
      <c r="O25"/>
    </row>
    <row r="26" spans="1:27" x14ac:dyDescent="0.3">
      <c r="A26" s="24" t="s">
        <v>27</v>
      </c>
      <c r="B26" s="24" t="str">
        <f>'Plano de Contas '!B22</f>
        <v>Contas a Pagar</v>
      </c>
      <c r="C26" s="25">
        <v>0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s="24" customFormat="1" x14ac:dyDescent="0.3">
      <c r="A27" s="31" t="s">
        <v>29</v>
      </c>
      <c r="B27" s="31" t="str">
        <f>'Plano de Contas '!B23</f>
        <v>Patrimônio Liquido</v>
      </c>
      <c r="C27" s="32">
        <f>SUM(C28+C30+C31)</f>
        <v>115000</v>
      </c>
      <c r="D27"/>
      <c r="E27"/>
      <c r="F27"/>
      <c r="G27"/>
      <c r="H27"/>
      <c r="I27"/>
      <c r="J27"/>
      <c r="K27"/>
      <c r="L27"/>
      <c r="M27"/>
      <c r="N27"/>
      <c r="O27"/>
    </row>
    <row r="28" spans="1:27" x14ac:dyDescent="0.3">
      <c r="A28" s="24" t="s">
        <v>31</v>
      </c>
      <c r="B28" s="24" t="str">
        <f>'Plano de Contas '!B24</f>
        <v>Capital Social</v>
      </c>
      <c r="C28" s="25">
        <v>100000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s="24" customFormat="1" x14ac:dyDescent="0.3">
      <c r="A29" s="24" t="s">
        <v>32</v>
      </c>
      <c r="B29" s="24" t="str">
        <f>'Plano de Contas '!B25</f>
        <v>Capital a Integralizar</v>
      </c>
      <c r="C29" s="25">
        <v>0</v>
      </c>
      <c r="D29"/>
      <c r="E29"/>
      <c r="F29"/>
      <c r="G29"/>
      <c r="H29"/>
      <c r="I29"/>
      <c r="J29"/>
      <c r="K29"/>
      <c r="L29"/>
      <c r="M29"/>
      <c r="N29"/>
      <c r="O29"/>
    </row>
    <row r="30" spans="1:27" x14ac:dyDescent="0.3">
      <c r="A30" s="24" t="s">
        <v>68</v>
      </c>
      <c r="B30" s="24" t="str">
        <f>'Plano de Contas '!B26</f>
        <v>Lucros Acumulados</v>
      </c>
      <c r="C30" s="25">
        <v>15000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s="24" customFormat="1" x14ac:dyDescent="0.3">
      <c r="A31" s="24" t="s">
        <v>73</v>
      </c>
      <c r="B31" s="24" t="str">
        <f>'Plano de Contas '!B27</f>
        <v>Reserva de Lucros</v>
      </c>
      <c r="C31" s="25">
        <v>0</v>
      </c>
      <c r="D31"/>
      <c r="E31"/>
      <c r="F31"/>
      <c r="G31"/>
      <c r="H31"/>
      <c r="I31"/>
      <c r="J31"/>
      <c r="K31"/>
      <c r="L31"/>
      <c r="M31"/>
      <c r="N31"/>
      <c r="O31"/>
    </row>
    <row r="32" spans="1:27" x14ac:dyDescent="0.3">
      <c r="A32" s="18" t="s">
        <v>53</v>
      </c>
      <c r="C32" s="26">
        <f>SUM(C27)</f>
        <v>115000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3"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s="24" customFormat="1" x14ac:dyDescent="0.3">
      <c r="A34" s="18"/>
      <c r="B34" s="18"/>
      <c r="C34" s="26"/>
      <c r="D34"/>
      <c r="E34"/>
      <c r="F34"/>
      <c r="G34"/>
      <c r="H34"/>
      <c r="I34"/>
      <c r="J34"/>
      <c r="K34"/>
      <c r="L34"/>
      <c r="M34"/>
      <c r="N34"/>
      <c r="O34"/>
    </row>
    <row r="35" spans="1:27" s="24" customFormat="1" x14ac:dyDescent="0.3">
      <c r="A35" s="18"/>
      <c r="B35" s="18"/>
      <c r="C35" s="26"/>
      <c r="D35"/>
      <c r="E35"/>
      <c r="F35"/>
      <c r="G35"/>
      <c r="H35"/>
      <c r="I35"/>
      <c r="J35"/>
      <c r="K35"/>
      <c r="L35"/>
      <c r="M35"/>
      <c r="N35"/>
      <c r="O35"/>
    </row>
    <row r="36" spans="1:27" s="24" customFormat="1" x14ac:dyDescent="0.3">
      <c r="A36" s="18"/>
      <c r="B36" s="18"/>
      <c r="C36" s="26"/>
      <c r="D36"/>
      <c r="E36"/>
      <c r="F36"/>
      <c r="G36"/>
      <c r="H36"/>
      <c r="I36"/>
      <c r="J36"/>
      <c r="K36"/>
      <c r="L36"/>
      <c r="M36"/>
      <c r="N36"/>
      <c r="O36"/>
    </row>
    <row r="37" spans="1:27" x14ac:dyDescent="0.3"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3">
      <c r="F38" s="16"/>
    </row>
    <row r="41" spans="1:27" x14ac:dyDescent="0.3"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x14ac:dyDescent="0.3"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x14ac:dyDescent="0.3"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x14ac:dyDescent="0.3"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x14ac:dyDescent="0.3"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x14ac:dyDescent="0.3"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x14ac:dyDescent="0.3"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x14ac:dyDescent="0.3"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6:27" x14ac:dyDescent="0.3"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6:27" x14ac:dyDescent="0.3"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6:27" x14ac:dyDescent="0.3"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6:27" x14ac:dyDescent="0.3"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6:27" x14ac:dyDescent="0.3"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6:27" x14ac:dyDescent="0.3"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6:27" x14ac:dyDescent="0.3"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6:27" x14ac:dyDescent="0.3"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6:27" x14ac:dyDescent="0.3"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6:27" x14ac:dyDescent="0.3"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6:27" x14ac:dyDescent="0.3"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6:27" x14ac:dyDescent="0.3"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6:27" x14ac:dyDescent="0.3"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6:27" x14ac:dyDescent="0.3"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6:27" x14ac:dyDescent="0.3"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6:27" x14ac:dyDescent="0.3"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D4201-79E2-4321-8F62-467BBFC3D510}">
  <dimension ref="A1:I30"/>
  <sheetViews>
    <sheetView tabSelected="1" topLeftCell="B10" workbookViewId="0">
      <selection activeCell="B16" sqref="B16:I29"/>
    </sheetView>
  </sheetViews>
  <sheetFormatPr defaultRowHeight="14.4" x14ac:dyDescent="0.3"/>
  <cols>
    <col min="1" max="1" width="14.5546875" style="87" customWidth="1"/>
    <col min="2" max="2" width="29.88671875" bestFit="1" customWidth="1"/>
    <col min="3" max="3" width="15.6640625" bestFit="1" customWidth="1"/>
    <col min="4" max="4" width="21.44140625" bestFit="1" customWidth="1"/>
    <col min="5" max="5" width="40" customWidth="1"/>
    <col min="6" max="6" width="21.88671875" bestFit="1" customWidth="1"/>
    <col min="7" max="7" width="21.44140625" bestFit="1" customWidth="1"/>
    <col min="8" max="8" width="27.33203125" bestFit="1" customWidth="1"/>
    <col min="9" max="9" width="14.6640625" bestFit="1" customWidth="1"/>
  </cols>
  <sheetData>
    <row r="1" spans="1:9" s="84" customFormat="1" x14ac:dyDescent="0.3">
      <c r="A1" s="82" t="s">
        <v>47</v>
      </c>
      <c r="B1" s="83" t="s">
        <v>143</v>
      </c>
      <c r="C1" s="83" t="s">
        <v>144</v>
      </c>
      <c r="D1" s="83" t="s">
        <v>145</v>
      </c>
      <c r="E1" s="83" t="s">
        <v>146</v>
      </c>
      <c r="F1" s="83" t="s">
        <v>147</v>
      </c>
      <c r="G1" s="83" t="s">
        <v>148</v>
      </c>
      <c r="H1" s="83" t="s">
        <v>149</v>
      </c>
      <c r="I1" s="83" t="s">
        <v>150</v>
      </c>
    </row>
    <row r="2" spans="1:9" x14ac:dyDescent="0.3">
      <c r="A2" s="85">
        <v>44622</v>
      </c>
      <c r="B2" s="59" t="s">
        <v>151</v>
      </c>
      <c r="C2" s="83" t="s">
        <v>107</v>
      </c>
      <c r="D2" s="59" t="s">
        <v>152</v>
      </c>
      <c r="E2" s="83" t="s">
        <v>153</v>
      </c>
      <c r="F2" s="59" t="s">
        <v>154</v>
      </c>
      <c r="G2" s="59" t="s">
        <v>155</v>
      </c>
      <c r="H2" s="86">
        <v>15000</v>
      </c>
      <c r="I2" s="86">
        <v>15000</v>
      </c>
    </row>
    <row r="3" spans="1:9" x14ac:dyDescent="0.3">
      <c r="A3" s="85">
        <v>44630</v>
      </c>
      <c r="B3" s="59" t="s">
        <v>156</v>
      </c>
      <c r="C3" s="83" t="s">
        <v>157</v>
      </c>
      <c r="D3" s="59" t="s">
        <v>158</v>
      </c>
      <c r="E3" s="83" t="s">
        <v>159</v>
      </c>
      <c r="F3" s="59" t="s">
        <v>158</v>
      </c>
      <c r="G3" s="59" t="s">
        <v>158</v>
      </c>
      <c r="H3" s="86">
        <v>-544.99</v>
      </c>
      <c r="I3" s="86">
        <v>14455.01</v>
      </c>
    </row>
    <row r="4" spans="1:9" x14ac:dyDescent="0.3">
      <c r="A4" s="85">
        <v>44658</v>
      </c>
      <c r="B4" s="59" t="s">
        <v>151</v>
      </c>
      <c r="C4" s="83" t="s">
        <v>157</v>
      </c>
      <c r="D4" s="59" t="s">
        <v>160</v>
      </c>
      <c r="E4" s="83" t="s">
        <v>161</v>
      </c>
      <c r="F4" s="59" t="s">
        <v>162</v>
      </c>
      <c r="G4" s="59" t="s">
        <v>163</v>
      </c>
      <c r="H4" s="86">
        <v>-1.02</v>
      </c>
      <c r="I4" s="86">
        <v>14453.99</v>
      </c>
    </row>
    <row r="5" spans="1:9" x14ac:dyDescent="0.3">
      <c r="A5" s="85">
        <v>44691</v>
      </c>
      <c r="B5" s="59" t="s">
        <v>164</v>
      </c>
      <c r="C5" s="83" t="s">
        <v>107</v>
      </c>
      <c r="D5" s="59" t="s">
        <v>152</v>
      </c>
      <c r="E5" s="83" t="s">
        <v>153</v>
      </c>
      <c r="F5" s="59" t="s">
        <v>154</v>
      </c>
      <c r="G5" s="59" t="s">
        <v>155</v>
      </c>
      <c r="H5" s="86">
        <v>1000</v>
      </c>
      <c r="I5" s="86">
        <v>15453.99</v>
      </c>
    </row>
    <row r="6" spans="1:9" x14ac:dyDescent="0.3">
      <c r="A6" s="85">
        <v>44692</v>
      </c>
      <c r="B6" s="59" t="s">
        <v>164</v>
      </c>
      <c r="C6" s="83" t="s">
        <v>157</v>
      </c>
      <c r="D6" s="59" t="s">
        <v>160</v>
      </c>
      <c r="E6" s="83" t="s">
        <v>161</v>
      </c>
      <c r="F6" s="59" t="s">
        <v>162</v>
      </c>
      <c r="G6" s="59" t="s">
        <v>163</v>
      </c>
      <c r="H6" s="86">
        <v>-200</v>
      </c>
      <c r="I6" s="86">
        <v>15253.99</v>
      </c>
    </row>
    <row r="7" spans="1:9" x14ac:dyDescent="0.3">
      <c r="A7" s="85">
        <v>44774</v>
      </c>
      <c r="B7" s="59" t="s">
        <v>165</v>
      </c>
      <c r="C7" s="83" t="s">
        <v>107</v>
      </c>
      <c r="D7" s="59" t="s">
        <v>158</v>
      </c>
      <c r="E7" s="83" t="s">
        <v>166</v>
      </c>
      <c r="F7" s="59" t="s">
        <v>158</v>
      </c>
      <c r="G7" s="59" t="s">
        <v>158</v>
      </c>
      <c r="H7" s="86">
        <v>4.88</v>
      </c>
      <c r="I7" s="86">
        <v>15258.87</v>
      </c>
    </row>
    <row r="8" spans="1:9" x14ac:dyDescent="0.3">
      <c r="A8" s="85">
        <v>44803</v>
      </c>
      <c r="B8" s="59" t="s">
        <v>167</v>
      </c>
      <c r="C8" s="83" t="s">
        <v>107</v>
      </c>
      <c r="D8" s="59" t="s">
        <v>158</v>
      </c>
      <c r="E8" s="83" t="s">
        <v>168</v>
      </c>
      <c r="F8" s="59" t="s">
        <v>158</v>
      </c>
      <c r="G8" s="59" t="s">
        <v>158</v>
      </c>
      <c r="H8" s="86">
        <v>19.5</v>
      </c>
      <c r="I8" s="86">
        <v>15278.37</v>
      </c>
    </row>
    <row r="9" spans="1:9" x14ac:dyDescent="0.3">
      <c r="A9" s="85">
        <v>44805</v>
      </c>
      <c r="B9" s="59" t="s">
        <v>169</v>
      </c>
      <c r="C9" s="83" t="s">
        <v>157</v>
      </c>
      <c r="D9" s="59" t="s">
        <v>158</v>
      </c>
      <c r="E9" s="83" t="s">
        <v>170</v>
      </c>
      <c r="F9" s="59" t="s">
        <v>158</v>
      </c>
      <c r="G9" s="59" t="s">
        <v>158</v>
      </c>
      <c r="H9" s="86">
        <v>-16000</v>
      </c>
      <c r="I9" s="86">
        <v>-721.63</v>
      </c>
    </row>
    <row r="10" spans="1:9" x14ac:dyDescent="0.3">
      <c r="A10" s="85">
        <v>44809</v>
      </c>
      <c r="B10" s="59" t="s">
        <v>156</v>
      </c>
      <c r="C10" s="83" t="s">
        <v>157</v>
      </c>
      <c r="D10" s="59" t="s">
        <v>158</v>
      </c>
      <c r="E10" s="83" t="s">
        <v>171</v>
      </c>
      <c r="F10" s="59" t="s">
        <v>158</v>
      </c>
      <c r="G10" s="59" t="s">
        <v>158</v>
      </c>
      <c r="H10" s="86">
        <v>-100</v>
      </c>
      <c r="I10" s="86">
        <v>-821.63</v>
      </c>
    </row>
    <row r="11" spans="1:9" x14ac:dyDescent="0.3">
      <c r="A11" s="85">
        <v>44809</v>
      </c>
      <c r="B11" s="59" t="s">
        <v>172</v>
      </c>
      <c r="C11" s="83" t="s">
        <v>107</v>
      </c>
      <c r="D11" s="59" t="s">
        <v>173</v>
      </c>
      <c r="E11" s="83" t="s">
        <v>174</v>
      </c>
      <c r="F11" s="59" t="s">
        <v>175</v>
      </c>
      <c r="G11" s="59" t="s">
        <v>175</v>
      </c>
      <c r="H11" s="86">
        <v>19.46</v>
      </c>
      <c r="I11" s="86">
        <v>-802.17</v>
      </c>
    </row>
    <row r="12" spans="1:9" x14ac:dyDescent="0.3">
      <c r="A12" s="85">
        <v>44814</v>
      </c>
      <c r="B12" s="59" t="s">
        <v>165</v>
      </c>
      <c r="C12" s="83" t="s">
        <v>107</v>
      </c>
      <c r="D12" s="59" t="s">
        <v>158</v>
      </c>
      <c r="E12" s="83" t="s">
        <v>176</v>
      </c>
      <c r="F12" s="59" t="s">
        <v>158</v>
      </c>
      <c r="G12" s="59" t="s">
        <v>158</v>
      </c>
      <c r="H12" s="86">
        <v>1435.64</v>
      </c>
      <c r="I12" s="86">
        <v>633.47</v>
      </c>
    </row>
    <row r="13" spans="1:9" x14ac:dyDescent="0.3">
      <c r="A13" s="85">
        <v>44815</v>
      </c>
      <c r="B13" s="59" t="s">
        <v>177</v>
      </c>
      <c r="C13" s="83" t="s">
        <v>107</v>
      </c>
      <c r="D13" s="59" t="s">
        <v>152</v>
      </c>
      <c r="E13" s="83" t="s">
        <v>178</v>
      </c>
      <c r="F13" s="59" t="s">
        <v>154</v>
      </c>
      <c r="G13" s="59" t="s">
        <v>155</v>
      </c>
      <c r="H13" s="86">
        <v>900.78</v>
      </c>
      <c r="I13" s="86">
        <v>1534.25</v>
      </c>
    </row>
    <row r="14" spans="1:9" x14ac:dyDescent="0.3">
      <c r="A14" s="85">
        <v>44816</v>
      </c>
      <c r="B14" s="59" t="s">
        <v>179</v>
      </c>
      <c r="C14" s="83" t="s">
        <v>157</v>
      </c>
      <c r="D14" s="59" t="s">
        <v>158</v>
      </c>
      <c r="E14" s="83" t="s">
        <v>180</v>
      </c>
      <c r="F14" s="59" t="s">
        <v>158</v>
      </c>
      <c r="G14" s="59" t="s">
        <v>158</v>
      </c>
      <c r="H14" s="86">
        <v>-300</v>
      </c>
      <c r="I14" s="86">
        <v>1234.25</v>
      </c>
    </row>
    <row r="16" spans="1:9" x14ac:dyDescent="0.3">
      <c r="A16" s="130" t="s">
        <v>47</v>
      </c>
      <c r="B16" s="130"/>
      <c r="C16" s="130"/>
      <c r="D16" s="130"/>
      <c r="E16" s="130"/>
      <c r="F16" s="130"/>
      <c r="G16" s="130"/>
      <c r="H16" s="130"/>
      <c r="I16" s="130"/>
    </row>
    <row r="17" spans="1:9" x14ac:dyDescent="0.3">
      <c r="A17" s="131">
        <v>44595</v>
      </c>
      <c r="B17" s="130"/>
      <c r="C17" s="130"/>
      <c r="D17" s="130"/>
      <c r="E17" s="130"/>
      <c r="F17" s="130"/>
      <c r="G17" s="130"/>
      <c r="H17" s="130"/>
      <c r="I17" s="130"/>
    </row>
    <row r="18" spans="1:9" x14ac:dyDescent="0.3">
      <c r="A18" s="131">
        <v>44596</v>
      </c>
      <c r="B18" s="130"/>
      <c r="C18" s="130"/>
      <c r="D18" s="130"/>
      <c r="E18" s="130"/>
      <c r="F18" s="130"/>
      <c r="G18" s="130"/>
      <c r="H18" s="130"/>
      <c r="I18" s="130"/>
    </row>
    <row r="19" spans="1:9" x14ac:dyDescent="0.3">
      <c r="A19" s="131">
        <v>44624</v>
      </c>
      <c r="B19" s="130"/>
      <c r="C19" s="130"/>
      <c r="D19" s="130"/>
      <c r="E19" s="130"/>
      <c r="F19" s="130"/>
      <c r="G19" s="130"/>
      <c r="H19" s="130"/>
      <c r="I19" s="130"/>
    </row>
    <row r="20" spans="1:9" x14ac:dyDescent="0.3">
      <c r="A20" s="131">
        <v>44653</v>
      </c>
      <c r="B20" s="130"/>
      <c r="C20" s="130"/>
      <c r="D20" s="130"/>
      <c r="E20" s="130"/>
      <c r="F20" s="130"/>
      <c r="G20" s="130"/>
      <c r="H20" s="130"/>
      <c r="I20" s="130"/>
    </row>
    <row r="21" spans="1:9" x14ac:dyDescent="0.3">
      <c r="A21" s="131">
        <v>44654</v>
      </c>
      <c r="B21" s="130"/>
      <c r="C21" s="130"/>
      <c r="D21" s="130"/>
      <c r="E21" s="130"/>
      <c r="F21" s="130"/>
      <c r="G21" s="130"/>
      <c r="H21" s="130"/>
      <c r="I21" s="130"/>
    </row>
    <row r="22" spans="1:9" x14ac:dyDescent="0.3">
      <c r="A22" s="131">
        <v>44743</v>
      </c>
      <c r="B22" s="130"/>
      <c r="C22" s="130"/>
      <c r="D22" s="130"/>
      <c r="E22" s="130"/>
      <c r="F22" s="130"/>
      <c r="G22" s="130"/>
      <c r="H22" s="130"/>
      <c r="I22" s="130"/>
    </row>
    <row r="23" spans="1:9" x14ac:dyDescent="0.3">
      <c r="A23" s="131">
        <v>44744</v>
      </c>
      <c r="B23" s="130"/>
      <c r="C23" s="130"/>
      <c r="D23" s="130"/>
      <c r="E23" s="130"/>
      <c r="F23" s="130"/>
      <c r="G23" s="130"/>
      <c r="H23" s="132"/>
      <c r="I23" s="130"/>
    </row>
    <row r="24" spans="1:9" x14ac:dyDescent="0.3">
      <c r="A24" s="131">
        <v>44777</v>
      </c>
      <c r="B24" s="130"/>
      <c r="C24" s="130"/>
      <c r="D24" s="130"/>
      <c r="E24" s="130"/>
      <c r="F24" s="130"/>
      <c r="G24" s="130"/>
      <c r="H24" s="130"/>
      <c r="I24" s="130"/>
    </row>
    <row r="25" spans="1:9" x14ac:dyDescent="0.3">
      <c r="A25" s="131">
        <v>44774</v>
      </c>
      <c r="B25" s="130"/>
      <c r="C25" s="130"/>
      <c r="D25" s="130"/>
      <c r="E25" s="130"/>
      <c r="F25" s="130"/>
      <c r="G25" s="130"/>
      <c r="H25" s="130"/>
      <c r="I25" s="130"/>
    </row>
    <row r="26" spans="1:9" x14ac:dyDescent="0.3">
      <c r="A26" s="131">
        <v>44774</v>
      </c>
      <c r="B26" s="130"/>
      <c r="C26" s="130"/>
      <c r="D26" s="130"/>
      <c r="E26" s="130"/>
      <c r="F26" s="130"/>
      <c r="G26" s="130"/>
      <c r="H26" s="130"/>
      <c r="I26" s="130"/>
    </row>
    <row r="27" spans="1:9" x14ac:dyDescent="0.3">
      <c r="A27" s="131">
        <v>44779</v>
      </c>
      <c r="B27" s="130"/>
      <c r="C27" s="130"/>
      <c r="D27" s="130"/>
      <c r="E27" s="130"/>
      <c r="F27" s="130"/>
      <c r="G27" s="130"/>
      <c r="H27" s="130"/>
      <c r="I27" s="130"/>
    </row>
    <row r="28" spans="1:9" x14ac:dyDescent="0.3">
      <c r="A28" s="130" t="s">
        <v>220</v>
      </c>
      <c r="B28" s="130"/>
      <c r="C28" s="130"/>
      <c r="D28" s="130"/>
      <c r="E28" s="130"/>
      <c r="F28" s="130"/>
      <c r="G28" s="130"/>
      <c r="H28" s="130"/>
      <c r="I28" s="130"/>
    </row>
    <row r="29" spans="1:9" x14ac:dyDescent="0.3">
      <c r="A29" s="131">
        <v>44774</v>
      </c>
      <c r="B29" s="130"/>
      <c r="C29" s="130"/>
      <c r="D29" s="130"/>
      <c r="E29" s="130"/>
      <c r="F29" s="130"/>
      <c r="G29" s="130"/>
      <c r="H29" s="130"/>
      <c r="I29" s="130"/>
    </row>
    <row r="30" spans="1:9" x14ac:dyDescent="0.3">
      <c r="A30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ECB21-22F0-426B-A6EB-741E67D9CC87}">
  <dimension ref="A1:K28"/>
  <sheetViews>
    <sheetView zoomScale="115" zoomScaleNormal="115" workbookViewId="0">
      <selection activeCell="B29" sqref="B29"/>
    </sheetView>
  </sheetViews>
  <sheetFormatPr defaultColWidth="9.109375" defaultRowHeight="15" x14ac:dyDescent="0.25"/>
  <cols>
    <col min="1" max="1" width="14.6640625" style="1" customWidth="1"/>
    <col min="2" max="2" width="24.33203125" style="1" bestFit="1" customWidth="1"/>
    <col min="3" max="3" width="26" style="1" bestFit="1" customWidth="1"/>
    <col min="4" max="4" width="55.44140625" style="1" bestFit="1" customWidth="1"/>
    <col min="5" max="5" width="16.5546875" style="6" bestFit="1" customWidth="1"/>
    <col min="6" max="6" width="9.33203125" style="1" bestFit="1" customWidth="1"/>
    <col min="7" max="7" width="20.109375" style="1" bestFit="1" customWidth="1"/>
    <col min="8" max="8" width="19.33203125" style="4" customWidth="1"/>
    <col min="9" max="9" width="20.5546875" style="4" bestFit="1" customWidth="1"/>
    <col min="10" max="10" width="41.109375" style="4" bestFit="1" customWidth="1"/>
    <col min="11" max="16384" width="9.109375" style="1"/>
  </cols>
  <sheetData>
    <row r="1" spans="1:11" x14ac:dyDescent="0.25">
      <c r="A1" s="35" t="s">
        <v>47</v>
      </c>
      <c r="B1" s="1" t="s">
        <v>0</v>
      </c>
      <c r="C1" s="1" t="s">
        <v>45</v>
      </c>
      <c r="D1" s="35" t="s">
        <v>181</v>
      </c>
      <c r="E1" s="3" t="s">
        <v>46</v>
      </c>
      <c r="F1" s="4" t="s">
        <v>48</v>
      </c>
      <c r="G1" s="5" t="s">
        <v>49</v>
      </c>
      <c r="H1" s="4" t="s">
        <v>50</v>
      </c>
      <c r="I1" s="4" t="s">
        <v>51</v>
      </c>
      <c r="J1" s="4" t="s">
        <v>52</v>
      </c>
    </row>
    <row r="2" spans="1:11" x14ac:dyDescent="0.25">
      <c r="A2" s="88">
        <v>44622</v>
      </c>
      <c r="B2" s="35" t="s">
        <v>12</v>
      </c>
      <c r="C2" s="1" t="str">
        <f>VLOOKUP(B2,'Plano de Contas '!A:B,2,0)</f>
        <v>Banco 8 (C/C)</v>
      </c>
      <c r="D2" s="35" t="s">
        <v>189</v>
      </c>
      <c r="E2" s="2">
        <v>15000</v>
      </c>
      <c r="F2" s="35" t="s">
        <v>62</v>
      </c>
      <c r="G2" s="4" t="str">
        <f t="shared" ref="G2:G27" si="0">LEFT(B2,2)</f>
        <v>1.</v>
      </c>
      <c r="H2" s="4" t="str">
        <f>VLOOKUP(G2,'Plano de Contas '!A:B,2,0)</f>
        <v>Ativo</v>
      </c>
      <c r="I2" s="4" t="str">
        <f t="shared" ref="I2:I27" si="1">LEFT(B2,3)</f>
        <v>1.1</v>
      </c>
      <c r="J2" s="4" t="str">
        <f>VLOOKUP(I2,'Plano de Contas '!A:B,2,0)</f>
        <v>Ativo Circulante</v>
      </c>
      <c r="K2" s="103" t="s">
        <v>209</v>
      </c>
    </row>
    <row r="3" spans="1:11" x14ac:dyDescent="0.25">
      <c r="A3" s="88">
        <v>44622</v>
      </c>
      <c r="B3" s="35" t="s">
        <v>61</v>
      </c>
      <c r="C3" s="1" t="str">
        <f>VLOOKUP(B3,'Plano de Contas '!A:B,2,0)</f>
        <v>Tiago Rodrigues Santos</v>
      </c>
      <c r="D3" s="35" t="s">
        <v>189</v>
      </c>
      <c r="E3" s="2">
        <v>15000</v>
      </c>
      <c r="F3" s="35" t="s">
        <v>190</v>
      </c>
      <c r="G3" s="4" t="str">
        <f t="shared" si="0"/>
        <v>1.</v>
      </c>
      <c r="H3" s="4" t="str">
        <f>VLOOKUP(G3,'Plano de Contas '!A:B,2,0)</f>
        <v>Ativo</v>
      </c>
      <c r="I3" s="4" t="str">
        <f t="shared" si="1"/>
        <v>1.1</v>
      </c>
      <c r="J3" s="4" t="str">
        <f>VLOOKUP(I3,'Plano de Contas '!A:B,2,0)</f>
        <v>Ativo Circulante</v>
      </c>
      <c r="K3" s="103" t="s">
        <v>209</v>
      </c>
    </row>
    <row r="4" spans="1:11" x14ac:dyDescent="0.25">
      <c r="A4" s="88">
        <v>44630</v>
      </c>
      <c r="B4" s="105" t="s">
        <v>36</v>
      </c>
      <c r="C4" s="1" t="str">
        <f>VLOOKUP(B4,'Plano de Contas '!A:B,2,0)</f>
        <v>Despesas Bancárias</v>
      </c>
      <c r="D4" s="35" t="s">
        <v>192</v>
      </c>
      <c r="E4" s="2">
        <v>544.99</v>
      </c>
      <c r="F4" s="35" t="s">
        <v>62</v>
      </c>
      <c r="G4" s="4" t="str">
        <f t="shared" si="0"/>
        <v>3.</v>
      </c>
      <c r="H4" s="4" t="str">
        <f>VLOOKUP(G4,'Plano de Contas '!A:B,2,0)</f>
        <v>Despesas</v>
      </c>
      <c r="I4" s="4" t="str">
        <f t="shared" si="1"/>
        <v>3.2</v>
      </c>
      <c r="J4" s="4" t="str">
        <f>VLOOKUP(I4,'Plano de Contas '!A:B,2,0)</f>
        <v>Despesas Administrativas e Financeiras</v>
      </c>
    </row>
    <row r="5" spans="1:11" x14ac:dyDescent="0.25">
      <c r="A5" s="88">
        <v>44630</v>
      </c>
      <c r="B5" s="35" t="s">
        <v>12</v>
      </c>
      <c r="C5" s="1" t="str">
        <f>VLOOKUP(B5,'Plano de Contas '!A:B,2,0)</f>
        <v>Banco 8 (C/C)</v>
      </c>
      <c r="D5" s="35" t="s">
        <v>192</v>
      </c>
      <c r="E5" s="2">
        <v>544.99</v>
      </c>
      <c r="F5" s="35" t="s">
        <v>193</v>
      </c>
      <c r="G5" s="4" t="str">
        <f t="shared" si="0"/>
        <v>1.</v>
      </c>
      <c r="H5" s="4" t="str">
        <f>VLOOKUP(G5,'Plano de Contas '!A:B,2,0)</f>
        <v>Ativo</v>
      </c>
      <c r="I5" s="4" t="str">
        <f t="shared" si="1"/>
        <v>1.1</v>
      </c>
      <c r="J5" s="4" t="str">
        <f>VLOOKUP(I5,'Plano de Contas '!A:B,2,0)</f>
        <v>Ativo Circulante</v>
      </c>
    </row>
    <row r="6" spans="1:11" x14ac:dyDescent="0.25">
      <c r="A6" s="88">
        <v>44658</v>
      </c>
      <c r="B6" s="105" t="s">
        <v>36</v>
      </c>
      <c r="C6" s="1" t="str">
        <f>VLOOKUP(B6,'Plano de Contas '!A:B,2,0)</f>
        <v>Despesas Bancárias</v>
      </c>
      <c r="D6" s="35" t="s">
        <v>194</v>
      </c>
      <c r="E6" s="2">
        <v>1.02</v>
      </c>
      <c r="F6" s="35" t="s">
        <v>62</v>
      </c>
      <c r="G6" s="4" t="str">
        <f t="shared" si="0"/>
        <v>3.</v>
      </c>
      <c r="H6" s="4" t="str">
        <f>VLOOKUP(G6,'Plano de Contas '!A:B,2,0)</f>
        <v>Despesas</v>
      </c>
      <c r="I6" s="4" t="str">
        <f t="shared" si="1"/>
        <v>3.2</v>
      </c>
      <c r="J6" s="4" t="str">
        <f>VLOOKUP(I6,'Plano de Contas '!A:B,2,0)</f>
        <v>Despesas Administrativas e Financeiras</v>
      </c>
    </row>
    <row r="7" spans="1:11" x14ac:dyDescent="0.25">
      <c r="A7" s="88">
        <v>44658</v>
      </c>
      <c r="B7" s="35" t="s">
        <v>12</v>
      </c>
      <c r="C7" s="1" t="str">
        <f>VLOOKUP(B7,'Plano de Contas '!A:B,2,0)</f>
        <v>Banco 8 (C/C)</v>
      </c>
      <c r="D7" s="35" t="s">
        <v>194</v>
      </c>
      <c r="E7" s="2">
        <v>1.02</v>
      </c>
      <c r="F7" s="35" t="s">
        <v>190</v>
      </c>
      <c r="G7" s="4" t="str">
        <f t="shared" si="0"/>
        <v>1.</v>
      </c>
      <c r="H7" s="4" t="str">
        <f>VLOOKUP(G7,'Plano de Contas '!A:B,2,0)</f>
        <v>Ativo</v>
      </c>
      <c r="I7" s="4" t="str">
        <f t="shared" si="1"/>
        <v>1.1</v>
      </c>
      <c r="J7" s="4" t="str">
        <f>VLOOKUP(I7,'Plano de Contas '!A:B,2,0)</f>
        <v>Ativo Circulante</v>
      </c>
    </row>
    <row r="8" spans="1:11" x14ac:dyDescent="0.25">
      <c r="A8" s="88">
        <v>44691</v>
      </c>
      <c r="B8" s="35" t="s">
        <v>12</v>
      </c>
      <c r="C8" s="1" t="str">
        <f>VLOOKUP(B8,'Plano de Contas '!A:B,2,0)</f>
        <v>Banco 8 (C/C)</v>
      </c>
      <c r="D8" s="35" t="s">
        <v>195</v>
      </c>
      <c r="E8" s="2">
        <v>1000</v>
      </c>
      <c r="F8" s="35" t="s">
        <v>62</v>
      </c>
      <c r="G8" s="4" t="str">
        <f t="shared" si="0"/>
        <v>1.</v>
      </c>
      <c r="H8" s="4" t="str">
        <f>VLOOKUP(G8,'Plano de Contas '!A:B,2,0)</f>
        <v>Ativo</v>
      </c>
      <c r="I8" s="4" t="str">
        <f t="shared" si="1"/>
        <v>1.1</v>
      </c>
      <c r="J8" s="4" t="str">
        <f>VLOOKUP(I8,'Plano de Contas '!A:B,2,0)</f>
        <v>Ativo Circulante</v>
      </c>
    </row>
    <row r="9" spans="1:11" x14ac:dyDescent="0.25">
      <c r="A9" s="88">
        <v>44691</v>
      </c>
      <c r="B9" s="35" t="s">
        <v>40</v>
      </c>
      <c r="C9" s="1" t="str">
        <f>VLOOKUP(B9,'Plano de Contas '!A:B,2,0)</f>
        <v>Receita Bruta de Vendas</v>
      </c>
      <c r="D9" s="35" t="s">
        <v>195</v>
      </c>
      <c r="E9" s="2">
        <v>1000</v>
      </c>
      <c r="F9" s="35" t="s">
        <v>190</v>
      </c>
      <c r="G9" s="4" t="str">
        <f t="shared" si="0"/>
        <v>4.</v>
      </c>
      <c r="H9" s="4" t="str">
        <f>VLOOKUP(G9,'Plano de Contas '!A:B,2,0)</f>
        <v>Receitas</v>
      </c>
      <c r="I9" s="4" t="str">
        <f t="shared" si="1"/>
        <v>4.1</v>
      </c>
      <c r="J9" s="4" t="str">
        <f>VLOOKUP(I9,'Plano de Contas '!A:B,2,0)</f>
        <v>Receitas Operacionais</v>
      </c>
    </row>
    <row r="10" spans="1:11" x14ac:dyDescent="0.25">
      <c r="A10" s="88">
        <v>44692</v>
      </c>
      <c r="B10" s="105" t="s">
        <v>36</v>
      </c>
      <c r="C10" s="1" t="str">
        <f>VLOOKUP(B10,'Plano de Contas '!A:B,2,0)</f>
        <v>Despesas Bancárias</v>
      </c>
      <c r="D10" s="35" t="s">
        <v>194</v>
      </c>
      <c r="E10" s="2">
        <v>200</v>
      </c>
      <c r="F10" s="35" t="s">
        <v>62</v>
      </c>
      <c r="G10" s="4" t="str">
        <f t="shared" si="0"/>
        <v>3.</v>
      </c>
      <c r="H10" s="4" t="str">
        <f>VLOOKUP(G10,'Plano de Contas '!A:B,2,0)</f>
        <v>Despesas</v>
      </c>
      <c r="I10" s="4" t="str">
        <f t="shared" si="1"/>
        <v>3.2</v>
      </c>
      <c r="J10" s="4" t="str">
        <f>VLOOKUP(I10,'Plano de Contas '!A:B,2,0)</f>
        <v>Despesas Administrativas e Financeiras</v>
      </c>
    </row>
    <row r="11" spans="1:11" x14ac:dyDescent="0.25">
      <c r="A11" s="88">
        <v>44692</v>
      </c>
      <c r="B11" s="35" t="s">
        <v>12</v>
      </c>
      <c r="C11" s="1" t="str">
        <f>VLOOKUP(B11,'Plano de Contas '!A:B,2,0)</f>
        <v>Banco 8 (C/C)</v>
      </c>
      <c r="D11" s="35" t="s">
        <v>194</v>
      </c>
      <c r="E11" s="2">
        <v>200</v>
      </c>
      <c r="F11" s="35" t="s">
        <v>190</v>
      </c>
      <c r="G11" s="4" t="str">
        <f t="shared" si="0"/>
        <v>1.</v>
      </c>
      <c r="H11" s="4" t="str">
        <f>VLOOKUP(G11,'Plano de Contas '!A:B,2,0)</f>
        <v>Ativo</v>
      </c>
      <c r="I11" s="4" t="str">
        <f t="shared" si="1"/>
        <v>1.1</v>
      </c>
      <c r="J11" s="4" t="str">
        <f>VLOOKUP(I11,'Plano de Contas '!A:B,2,0)</f>
        <v>Ativo Circulante</v>
      </c>
    </row>
    <row r="12" spans="1:11" x14ac:dyDescent="0.25">
      <c r="A12" s="88">
        <v>44774</v>
      </c>
      <c r="B12" s="35" t="s">
        <v>12</v>
      </c>
      <c r="C12" s="1" t="str">
        <f>VLOOKUP(B12,'Plano de Contas '!A:B,2,0)</f>
        <v>Banco 8 (C/C)</v>
      </c>
      <c r="D12" s="35" t="s">
        <v>196</v>
      </c>
      <c r="E12" s="2">
        <v>4.88</v>
      </c>
      <c r="F12" s="35" t="s">
        <v>62</v>
      </c>
      <c r="G12" s="4" t="str">
        <f t="shared" si="0"/>
        <v>1.</v>
      </c>
      <c r="H12" s="4" t="str">
        <f>VLOOKUP(G12,'Plano de Contas '!A:B,2,0)</f>
        <v>Ativo</v>
      </c>
      <c r="I12" s="4" t="str">
        <f t="shared" si="1"/>
        <v>1.1</v>
      </c>
      <c r="J12" s="4" t="str">
        <f>VLOOKUP(I12,'Plano de Contas '!A:B,2,0)</f>
        <v>Ativo Circulante</v>
      </c>
    </row>
    <row r="13" spans="1:11" x14ac:dyDescent="0.25">
      <c r="A13" s="88">
        <v>44774</v>
      </c>
      <c r="B13" s="35" t="s">
        <v>40</v>
      </c>
      <c r="C13" s="1" t="str">
        <f>VLOOKUP(B13,'Plano de Contas '!A:B,2,0)</f>
        <v>Receita Bruta de Vendas</v>
      </c>
      <c r="D13" s="35" t="s">
        <v>196</v>
      </c>
      <c r="E13" s="2">
        <v>4.88</v>
      </c>
      <c r="F13" s="35" t="s">
        <v>190</v>
      </c>
      <c r="G13" s="4" t="str">
        <f t="shared" si="0"/>
        <v>4.</v>
      </c>
      <c r="H13" s="4" t="str">
        <f>VLOOKUP(G13,'Plano de Contas '!A:B,2,0)</f>
        <v>Receitas</v>
      </c>
      <c r="I13" s="4" t="str">
        <f t="shared" si="1"/>
        <v>4.1</v>
      </c>
      <c r="J13" s="4" t="str">
        <f>VLOOKUP(I13,'Plano de Contas '!A:B,2,0)</f>
        <v>Receitas Operacionais</v>
      </c>
    </row>
    <row r="14" spans="1:11" x14ac:dyDescent="0.25">
      <c r="A14" s="88">
        <v>44803</v>
      </c>
      <c r="B14" s="35" t="s">
        <v>12</v>
      </c>
      <c r="C14" s="1" t="str">
        <f>VLOOKUP(B14,'Plano de Contas '!A:B,2,0)</f>
        <v>Banco 8 (C/C)</v>
      </c>
      <c r="D14" s="35" t="s">
        <v>168</v>
      </c>
      <c r="E14" s="2">
        <v>19.5</v>
      </c>
      <c r="F14" s="35" t="s">
        <v>62</v>
      </c>
      <c r="G14" s="4" t="str">
        <f t="shared" si="0"/>
        <v>1.</v>
      </c>
      <c r="H14" s="4" t="str">
        <f>VLOOKUP(G14,'Plano de Contas '!A:B,2,0)</f>
        <v>Ativo</v>
      </c>
      <c r="I14" s="4" t="str">
        <f t="shared" si="1"/>
        <v>1.1</v>
      </c>
      <c r="J14" s="4" t="str">
        <f>VLOOKUP(I14,'Plano de Contas '!A:B,2,0)</f>
        <v>Ativo Circulante</v>
      </c>
    </row>
    <row r="15" spans="1:11" x14ac:dyDescent="0.25">
      <c r="A15" s="88">
        <v>44803</v>
      </c>
      <c r="B15" s="35" t="s">
        <v>40</v>
      </c>
      <c r="C15" s="1" t="str">
        <f>VLOOKUP(B15,'Plano de Contas '!A:B,2,0)</f>
        <v>Receita Bruta de Vendas</v>
      </c>
      <c r="D15" s="35" t="s">
        <v>168</v>
      </c>
      <c r="E15" s="2">
        <v>19.5</v>
      </c>
      <c r="F15" s="35" t="s">
        <v>190</v>
      </c>
      <c r="G15" s="4" t="str">
        <f t="shared" si="0"/>
        <v>4.</v>
      </c>
      <c r="H15" s="4" t="str">
        <f>VLOOKUP(G15,'Plano de Contas '!A:B,2,0)</f>
        <v>Receitas</v>
      </c>
      <c r="I15" s="4" t="str">
        <f t="shared" si="1"/>
        <v>4.1</v>
      </c>
      <c r="J15" s="4" t="str">
        <f>VLOOKUP(I15,'Plano de Contas '!A:B,2,0)</f>
        <v>Receitas Operacionais</v>
      </c>
    </row>
    <row r="16" spans="1:11" x14ac:dyDescent="0.25">
      <c r="A16" s="88">
        <v>44805</v>
      </c>
      <c r="B16" s="105" t="s">
        <v>36</v>
      </c>
      <c r="C16" s="1" t="str">
        <f>VLOOKUP(B16,'Plano de Contas '!A:B,2,0)</f>
        <v>Despesas Bancárias</v>
      </c>
      <c r="D16" s="35" t="s">
        <v>197</v>
      </c>
      <c r="E16" s="2">
        <v>16000</v>
      </c>
      <c r="F16" s="35" t="s">
        <v>62</v>
      </c>
      <c r="G16" s="4" t="str">
        <f t="shared" si="0"/>
        <v>3.</v>
      </c>
      <c r="H16" s="4" t="str">
        <f>VLOOKUP(G16,'Plano de Contas '!A:B,2,0)</f>
        <v>Despesas</v>
      </c>
      <c r="I16" s="4" t="str">
        <f t="shared" si="1"/>
        <v>3.2</v>
      </c>
      <c r="J16" s="4" t="str">
        <f>VLOOKUP(I16,'Plano de Contas '!A:B,2,0)</f>
        <v>Despesas Administrativas e Financeiras</v>
      </c>
    </row>
    <row r="17" spans="1:10" x14ac:dyDescent="0.25">
      <c r="A17" s="88">
        <v>44805</v>
      </c>
      <c r="B17" s="35" t="s">
        <v>12</v>
      </c>
      <c r="C17" s="1" t="str">
        <f>VLOOKUP(B17,'Plano de Contas '!A:B,2,0)</f>
        <v>Banco 8 (C/C)</v>
      </c>
      <c r="D17" s="35" t="s">
        <v>197</v>
      </c>
      <c r="E17" s="2">
        <v>16000</v>
      </c>
      <c r="F17" s="35" t="s">
        <v>190</v>
      </c>
      <c r="G17" s="4" t="str">
        <f t="shared" si="0"/>
        <v>1.</v>
      </c>
      <c r="H17" s="4" t="str">
        <f>VLOOKUP(G17,'Plano de Contas '!A:B,2,0)</f>
        <v>Ativo</v>
      </c>
      <c r="I17" s="4" t="str">
        <f t="shared" si="1"/>
        <v>1.1</v>
      </c>
      <c r="J17" s="4" t="str">
        <f>VLOOKUP(I17,'Plano de Contas '!A:B,2,0)</f>
        <v>Ativo Circulante</v>
      </c>
    </row>
    <row r="18" spans="1:10" x14ac:dyDescent="0.25">
      <c r="A18" s="88">
        <v>44809</v>
      </c>
      <c r="B18" s="105" t="s">
        <v>36</v>
      </c>
      <c r="C18" s="1" t="str">
        <f>VLOOKUP(B18,'Plano de Contas '!A:B,2,0)</f>
        <v>Despesas Bancárias</v>
      </c>
      <c r="D18" s="35" t="s">
        <v>202</v>
      </c>
      <c r="E18" s="2">
        <v>100</v>
      </c>
      <c r="F18" s="35" t="s">
        <v>62</v>
      </c>
      <c r="G18" s="4" t="str">
        <f t="shared" si="0"/>
        <v>3.</v>
      </c>
      <c r="H18" s="4" t="str">
        <f>VLOOKUP(G18,'Plano de Contas '!A:B,2,0)</f>
        <v>Despesas</v>
      </c>
      <c r="I18" s="4" t="str">
        <f t="shared" si="1"/>
        <v>3.2</v>
      </c>
      <c r="J18" s="4" t="str">
        <f>VLOOKUP(I18,'Plano de Contas '!A:B,2,0)</f>
        <v>Despesas Administrativas e Financeiras</v>
      </c>
    </row>
    <row r="19" spans="1:10" x14ac:dyDescent="0.25">
      <c r="A19" s="88">
        <v>44809</v>
      </c>
      <c r="B19" s="35" t="s">
        <v>12</v>
      </c>
      <c r="C19" s="1" t="str">
        <f>VLOOKUP(B19,'Plano de Contas '!A:B,2,0)</f>
        <v>Banco 8 (C/C)</v>
      </c>
      <c r="D19" s="35" t="s">
        <v>202</v>
      </c>
      <c r="E19" s="2">
        <v>100</v>
      </c>
      <c r="F19" s="35" t="s">
        <v>190</v>
      </c>
      <c r="G19" s="4" t="str">
        <f t="shared" si="0"/>
        <v>1.</v>
      </c>
      <c r="H19" s="4" t="str">
        <f>VLOOKUP(G19,'Plano de Contas '!A:B,2,0)</f>
        <v>Ativo</v>
      </c>
      <c r="I19" s="4" t="str">
        <f t="shared" si="1"/>
        <v>1.1</v>
      </c>
      <c r="J19" s="4" t="str">
        <f>VLOOKUP(I19,'Plano de Contas '!A:B,2,0)</f>
        <v>Ativo Circulante</v>
      </c>
    </row>
    <row r="20" spans="1:10" x14ac:dyDescent="0.25">
      <c r="A20" s="88">
        <v>44809</v>
      </c>
      <c r="B20" s="35" t="s">
        <v>12</v>
      </c>
      <c r="C20" s="1" t="str">
        <f>VLOOKUP(B20,'Plano de Contas '!A:B,2,0)</f>
        <v>Banco 8 (C/C)</v>
      </c>
      <c r="D20" s="35" t="s">
        <v>174</v>
      </c>
      <c r="E20" s="2">
        <v>19.46</v>
      </c>
      <c r="F20" s="35" t="s">
        <v>62</v>
      </c>
      <c r="G20" s="4" t="str">
        <f t="shared" si="0"/>
        <v>1.</v>
      </c>
      <c r="H20" s="4" t="str">
        <f>VLOOKUP(G20,'Plano de Contas '!A:B,2,0)</f>
        <v>Ativo</v>
      </c>
      <c r="I20" s="4" t="str">
        <f t="shared" si="1"/>
        <v>1.1</v>
      </c>
      <c r="J20" s="4" t="str">
        <f>VLOOKUP(I20,'Plano de Contas '!A:B,2,0)</f>
        <v>Ativo Circulante</v>
      </c>
    </row>
    <row r="21" spans="1:10" x14ac:dyDescent="0.25">
      <c r="A21" s="88">
        <v>44809</v>
      </c>
      <c r="B21" s="35" t="s">
        <v>14</v>
      </c>
      <c r="C21" s="1" t="str">
        <f>VLOOKUP(B21,'Plano de Contas '!A:B,2,0)</f>
        <v>Aplicação Financeira</v>
      </c>
      <c r="D21" s="35" t="s">
        <v>174</v>
      </c>
      <c r="E21" s="2">
        <v>19.46</v>
      </c>
      <c r="F21" s="35" t="s">
        <v>190</v>
      </c>
      <c r="G21" s="4" t="str">
        <f t="shared" si="0"/>
        <v>1.</v>
      </c>
      <c r="H21" s="4" t="str">
        <f>VLOOKUP(G21,'Plano de Contas '!A:B,2,0)</f>
        <v>Ativo</v>
      </c>
      <c r="I21" s="4" t="str">
        <f t="shared" si="1"/>
        <v>1.1</v>
      </c>
      <c r="J21" s="4" t="str">
        <f>VLOOKUP(I21,'Plano de Contas '!A:B,2,0)</f>
        <v>Ativo Circulante</v>
      </c>
    </row>
    <row r="22" spans="1:10" x14ac:dyDescent="0.25">
      <c r="A22" s="88">
        <v>44814</v>
      </c>
      <c r="B22" s="35" t="s">
        <v>12</v>
      </c>
      <c r="C22" s="1" t="str">
        <f>VLOOKUP(B22,'Plano de Contas '!A:B,2,0)</f>
        <v>Banco 8 (C/C)</v>
      </c>
      <c r="D22" s="35" t="s">
        <v>204</v>
      </c>
      <c r="E22" s="2">
        <v>1435.64</v>
      </c>
      <c r="F22" s="35" t="s">
        <v>62</v>
      </c>
      <c r="G22" s="4" t="str">
        <f t="shared" si="0"/>
        <v>1.</v>
      </c>
      <c r="H22" s="4" t="str">
        <f>VLOOKUP(G22,'Plano de Contas '!A:B,2,0)</f>
        <v>Ativo</v>
      </c>
      <c r="I22" s="4" t="str">
        <f t="shared" si="1"/>
        <v>1.1</v>
      </c>
      <c r="J22" s="4" t="str">
        <f>VLOOKUP(I22,'Plano de Contas '!A:B,2,0)</f>
        <v>Ativo Circulante</v>
      </c>
    </row>
    <row r="23" spans="1:10" x14ac:dyDescent="0.25">
      <c r="A23" s="88">
        <v>44814</v>
      </c>
      <c r="B23" s="35" t="s">
        <v>40</v>
      </c>
      <c r="C23" s="1" t="str">
        <f>VLOOKUP(B23,'Plano de Contas '!A:B,2,0)</f>
        <v>Receita Bruta de Vendas</v>
      </c>
      <c r="D23" s="35" t="s">
        <v>204</v>
      </c>
      <c r="E23" s="2">
        <v>1435.64</v>
      </c>
      <c r="F23" s="35" t="s">
        <v>190</v>
      </c>
      <c r="G23" s="4" t="str">
        <f t="shared" si="0"/>
        <v>4.</v>
      </c>
      <c r="H23" s="4" t="str">
        <f>VLOOKUP(G23,'Plano de Contas '!A:B,2,0)</f>
        <v>Receitas</v>
      </c>
      <c r="I23" s="4" t="str">
        <f t="shared" si="1"/>
        <v>4.1</v>
      </c>
      <c r="J23" s="4" t="str">
        <f>VLOOKUP(I23,'Plano de Contas '!A:B,2,0)</f>
        <v>Receitas Operacionais</v>
      </c>
    </row>
    <row r="24" spans="1:10" x14ac:dyDescent="0.25">
      <c r="A24" s="88">
        <v>44815</v>
      </c>
      <c r="B24" s="35" t="s">
        <v>12</v>
      </c>
      <c r="C24" s="1" t="str">
        <f>VLOOKUP(B24,'Plano de Contas '!A:B,2,0)</f>
        <v>Banco 8 (C/C)</v>
      </c>
      <c r="D24" s="35" t="s">
        <v>205</v>
      </c>
      <c r="E24" s="2">
        <v>900.78</v>
      </c>
      <c r="F24" s="35" t="s">
        <v>62</v>
      </c>
      <c r="G24" s="4" t="str">
        <f t="shared" si="0"/>
        <v>1.</v>
      </c>
      <c r="H24" s="4" t="str">
        <f>VLOOKUP(G24,'Plano de Contas '!A:B,2,0)</f>
        <v>Ativo</v>
      </c>
      <c r="I24" s="4" t="str">
        <f t="shared" si="1"/>
        <v>1.1</v>
      </c>
      <c r="J24" s="4" t="str">
        <f>VLOOKUP(I24,'Plano de Contas '!A:B,2,0)</f>
        <v>Ativo Circulante</v>
      </c>
    </row>
    <row r="25" spans="1:10" x14ac:dyDescent="0.25">
      <c r="A25" s="88">
        <v>44815</v>
      </c>
      <c r="B25" s="35" t="s">
        <v>40</v>
      </c>
      <c r="C25" s="1" t="str">
        <f>VLOOKUP(B25,'Plano de Contas '!A:B,2,0)</f>
        <v>Receita Bruta de Vendas</v>
      </c>
      <c r="D25" s="35" t="s">
        <v>205</v>
      </c>
      <c r="E25" s="2">
        <v>900.78</v>
      </c>
      <c r="F25" s="35" t="s">
        <v>190</v>
      </c>
      <c r="G25" s="4" t="str">
        <f t="shared" si="0"/>
        <v>4.</v>
      </c>
      <c r="H25" s="4" t="str">
        <f>VLOOKUP(G25,'Plano de Contas '!A:B,2,0)</f>
        <v>Receitas</v>
      </c>
      <c r="I25" s="4" t="str">
        <f t="shared" si="1"/>
        <v>4.1</v>
      </c>
      <c r="J25" s="4" t="str">
        <f>VLOOKUP(I25,'Plano de Contas '!A:B,2,0)</f>
        <v>Receitas Operacionais</v>
      </c>
    </row>
    <row r="26" spans="1:10" x14ac:dyDescent="0.25">
      <c r="A26" s="88">
        <v>44816</v>
      </c>
      <c r="B26" s="35" t="s">
        <v>8</v>
      </c>
      <c r="C26" s="1" t="str">
        <f>VLOOKUP(B26,'Plano de Contas '!A:B,2,0)</f>
        <v>Caixa</v>
      </c>
      <c r="D26" s="35" t="s">
        <v>180</v>
      </c>
      <c r="E26" s="2">
        <v>300</v>
      </c>
      <c r="F26" s="35" t="s">
        <v>62</v>
      </c>
      <c r="G26" s="4" t="str">
        <f t="shared" si="0"/>
        <v>1.</v>
      </c>
      <c r="H26" s="4" t="str">
        <f>VLOOKUP(G26,'Plano de Contas '!A:B,2,0)</f>
        <v>Ativo</v>
      </c>
      <c r="I26" s="4" t="str">
        <f t="shared" si="1"/>
        <v>1.1</v>
      </c>
      <c r="J26" s="4" t="str">
        <f>VLOOKUP(I26,'Plano de Contas '!A:B,2,0)</f>
        <v>Ativo Circulante</v>
      </c>
    </row>
    <row r="27" spans="1:10" x14ac:dyDescent="0.25">
      <c r="A27" s="88">
        <v>44816</v>
      </c>
      <c r="B27" s="35" t="s">
        <v>12</v>
      </c>
      <c r="C27" s="1" t="str">
        <f>VLOOKUP(B27,'Plano de Contas '!A:B,2,0)</f>
        <v>Banco 8 (C/C)</v>
      </c>
      <c r="D27" s="35" t="s">
        <v>180</v>
      </c>
      <c r="E27" s="2">
        <v>300</v>
      </c>
      <c r="F27" s="35" t="s">
        <v>190</v>
      </c>
      <c r="G27" s="4" t="str">
        <f t="shared" si="0"/>
        <v>1.</v>
      </c>
      <c r="H27" s="4" t="str">
        <f>VLOOKUP(G27,'Plano de Contas '!A:B,2,0)</f>
        <v>Ativo</v>
      </c>
      <c r="I27" s="4" t="str">
        <f t="shared" si="1"/>
        <v>1.1</v>
      </c>
      <c r="J27" s="4" t="str">
        <f>VLOOKUP(I27,'Plano de Contas '!A:B,2,0)</f>
        <v>Ativo Circulante</v>
      </c>
    </row>
    <row r="28" spans="1:10" x14ac:dyDescent="0.25">
      <c r="A28" s="105"/>
      <c r="B28" s="105" t="s">
        <v>53</v>
      </c>
      <c r="C28" s="105"/>
      <c r="D28" s="105"/>
      <c r="E28" s="106">
        <f>SUBTOTAL(109,Tabela2585[[Valor ]])</f>
        <v>71052.540000000008</v>
      </c>
      <c r="F28" s="105"/>
      <c r="G28" s="107"/>
      <c r="H28" s="107"/>
      <c r="I28" s="107"/>
      <c r="J28" s="107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3F9BA-4D1E-431C-9A95-8422ADE03558}">
  <dimension ref="A1:K13"/>
  <sheetViews>
    <sheetView topLeftCell="B1" zoomScale="115" zoomScaleNormal="115" workbookViewId="0">
      <selection activeCell="B5" sqref="B5"/>
    </sheetView>
  </sheetViews>
  <sheetFormatPr defaultColWidth="9.109375" defaultRowHeight="15" x14ac:dyDescent="0.25"/>
  <cols>
    <col min="1" max="1" width="24.33203125" style="1" bestFit="1" customWidth="1"/>
    <col min="2" max="2" width="28.5546875" style="1" bestFit="1" customWidth="1"/>
    <col min="3" max="3" width="17.44140625" style="1" bestFit="1" customWidth="1"/>
    <col min="4" max="4" width="17.44140625" style="6" bestFit="1" customWidth="1"/>
    <col min="5" max="6" width="17.44140625" style="1" bestFit="1" customWidth="1"/>
    <col min="7" max="7" width="20" style="1" bestFit="1" customWidth="1"/>
    <col min="8" max="8" width="19.33203125" style="4" customWidth="1"/>
    <col min="9" max="9" width="20.5546875" style="4" bestFit="1" customWidth="1"/>
    <col min="10" max="10" width="41.109375" style="4" bestFit="1" customWidth="1"/>
    <col min="11" max="16384" width="9.109375" style="1"/>
  </cols>
  <sheetData>
    <row r="1" spans="1:11" x14ac:dyDescent="0.25">
      <c r="A1" s="1" t="s">
        <v>0</v>
      </c>
      <c r="B1" s="1" t="s">
        <v>45</v>
      </c>
      <c r="C1" s="105" t="s">
        <v>211</v>
      </c>
      <c r="D1" s="108" t="s">
        <v>107</v>
      </c>
      <c r="E1" s="107" t="s">
        <v>157</v>
      </c>
      <c r="F1" s="107" t="s">
        <v>212</v>
      </c>
      <c r="G1" s="5" t="s">
        <v>49</v>
      </c>
      <c r="H1" s="4" t="s">
        <v>50</v>
      </c>
      <c r="I1" s="4" t="s">
        <v>51</v>
      </c>
      <c r="J1" s="4" t="s">
        <v>52</v>
      </c>
    </row>
    <row r="2" spans="1:11" x14ac:dyDescent="0.25">
      <c r="A2" s="110" t="s">
        <v>8</v>
      </c>
      <c r="B2" s="1" t="str">
        <f>VLOOKUP(Tabela25859[[#This Row],[Código]],Plano_De_Contas[],2,0)</f>
        <v>Caixa</v>
      </c>
      <c r="C2" s="109">
        <f>SUM('BP Inicial'!C5)</f>
        <v>4950</v>
      </c>
      <c r="D2" s="2">
        <f>'1° Trimestre'!E26</f>
        <v>300</v>
      </c>
      <c r="E2" s="109"/>
      <c r="F2" s="109">
        <f>SUM((Tabela25859[[#This Row],[Saldo Inicial]]+Tabela25859[[#This Row],[Entrada]])-Tabela25859[[#This Row],[Saída]])</f>
        <v>5250</v>
      </c>
      <c r="G2" s="4" t="str">
        <f t="shared" ref="G2:G11" si="0">LEFT(A2,2)</f>
        <v>1.</v>
      </c>
      <c r="H2" s="4" t="str">
        <f>VLOOKUP(G2,'Plano de Contas '!A:B,2,0)</f>
        <v>Ativo</v>
      </c>
      <c r="I2" s="4" t="str">
        <f t="shared" ref="I2:I11" si="1">LEFT(A2,3)</f>
        <v>1.1</v>
      </c>
      <c r="J2" s="4" t="str">
        <f>VLOOKUP(I2,'Plano de Contas '!A:B,2,0)</f>
        <v>Ativo Circulante</v>
      </c>
      <c r="K2" s="103"/>
    </row>
    <row r="3" spans="1:11" x14ac:dyDescent="0.25">
      <c r="A3" s="8" t="s">
        <v>12</v>
      </c>
      <c r="B3" s="1" t="str">
        <f>VLOOKUP(Tabela25859[[#This Row],[Código]],Plano_De_Contas[],2,0)</f>
        <v>Banco 8 (C/C)</v>
      </c>
      <c r="C3" s="109">
        <v>0</v>
      </c>
      <c r="D3" s="2">
        <f>SUM('1° Trimestre'!E2+'1° Trimestre'!E8+'1° Trimestre'!E12+'1° Trimestre'!E14+'1° Trimestre'!E20+'1° Trimestre'!E22+'1° Trimestre'!E24)</f>
        <v>18380.259999999998</v>
      </c>
      <c r="E3" s="109">
        <f>SUM('1° Trimestre'!E5+'1° Trimestre'!E7+'1° Trimestre'!E11+'1° Trimestre'!E17+'1° Trimestre'!E19+'1° Trimestre'!E27)</f>
        <v>17146.009999999998</v>
      </c>
      <c r="F3" s="109">
        <f>SUM((Tabela25859[[#This Row],[Saldo Inicial]]+Tabela25859[[#This Row],[Entrada]])-Tabela25859[[#This Row],[Saída]])</f>
        <v>1234.25</v>
      </c>
      <c r="G3" s="4" t="str">
        <f t="shared" si="0"/>
        <v>1.</v>
      </c>
      <c r="H3" s="4" t="str">
        <f>VLOOKUP(G3,'Plano de Contas '!A:B,2,0)</f>
        <v>Ativo</v>
      </c>
      <c r="I3" s="4" t="str">
        <f t="shared" si="1"/>
        <v>1.1</v>
      </c>
      <c r="J3" s="4" t="str">
        <f>VLOOKUP(I3,'Plano de Contas '!A:B,2,0)</f>
        <v>Ativo Circulante</v>
      </c>
      <c r="K3" s="103"/>
    </row>
    <row r="4" spans="1:11" x14ac:dyDescent="0.25">
      <c r="A4" s="110" t="s">
        <v>14</v>
      </c>
      <c r="B4" s="1" t="str">
        <f>VLOOKUP(Tabela25859[[#This Row],[Código]],Plano_De_Contas[],2,0)</f>
        <v>Aplicação Financeira</v>
      </c>
      <c r="C4" s="109">
        <f>'BP Inicial'!C9</f>
        <v>50</v>
      </c>
      <c r="D4" s="2"/>
      <c r="E4" s="109">
        <f>'1° Trimestre'!E21</f>
        <v>19.46</v>
      </c>
      <c r="F4" s="109">
        <f>SUM((Tabela25859[[#This Row],[Saldo Inicial]]+Tabela25859[[#This Row],[Entrada]])-Tabela25859[[#This Row],[Saída]])</f>
        <v>30.54</v>
      </c>
      <c r="G4" s="4" t="str">
        <f t="shared" si="0"/>
        <v>1.</v>
      </c>
      <c r="H4" s="4" t="str">
        <f>VLOOKUP(G4,'Plano de Contas '!A:B,2,0)</f>
        <v>Ativo</v>
      </c>
      <c r="I4" s="4" t="str">
        <f t="shared" si="1"/>
        <v>1.1</v>
      </c>
      <c r="J4" s="4" t="str">
        <f>VLOOKUP(I4,'Plano de Contas '!A:B,2,0)</f>
        <v>Ativo Circulante</v>
      </c>
    </row>
    <row r="5" spans="1:11" x14ac:dyDescent="0.25">
      <c r="A5" s="110" t="s">
        <v>61</v>
      </c>
      <c r="B5" s="1" t="str">
        <f>VLOOKUP(Tabela25859[[#This Row],[Código]],Plano_De_Contas[],2,0)</f>
        <v>Tiago Rodrigues Santos</v>
      </c>
      <c r="C5" s="109">
        <f>'BP Inicial'!C11</f>
        <v>15000</v>
      </c>
      <c r="D5" s="2"/>
      <c r="E5" s="109">
        <f>'1° Trimestre'!E3</f>
        <v>15000</v>
      </c>
      <c r="F5" s="109">
        <f>SUM((Tabela25859[[#This Row],[Saldo Inicial]]+Tabela25859[[#This Row],[Entrada]])-Tabela25859[[#This Row],[Saída]])</f>
        <v>0</v>
      </c>
      <c r="G5" s="4" t="str">
        <f t="shared" si="0"/>
        <v>1.</v>
      </c>
      <c r="H5" s="4" t="str">
        <f>VLOOKUP(G5,'Plano de Contas '!A:B,2,0)</f>
        <v>Ativo</v>
      </c>
      <c r="I5" s="4" t="str">
        <f t="shared" si="1"/>
        <v>1.1</v>
      </c>
      <c r="J5" s="4" t="str">
        <f>VLOOKUP(I5,'Plano de Contas '!A:B,2,0)</f>
        <v>Ativo Circulante</v>
      </c>
    </row>
    <row r="6" spans="1:11" x14ac:dyDescent="0.25">
      <c r="A6" s="44" t="s">
        <v>191</v>
      </c>
      <c r="B6" s="1" t="str">
        <f>VLOOKUP(Tabela25859[[#This Row],[Código]],Plano_De_Contas[],2,0)</f>
        <v>Pluggy</v>
      </c>
      <c r="C6" s="109">
        <v>0</v>
      </c>
      <c r="D6" s="2"/>
      <c r="E6" s="109"/>
      <c r="F6" s="109">
        <f>SUM((Tabela25859[[#This Row],[Saldo Inicial]]+Tabela25859[[#This Row],[Entrada]])-Tabela25859[[#This Row],[Saída]])</f>
        <v>0</v>
      </c>
      <c r="G6" s="107" t="str">
        <f t="shared" si="0"/>
        <v>2.</v>
      </c>
      <c r="H6" s="4" t="str">
        <f>VLOOKUP(G6,'Plano de Contas '!A:B,2,0)</f>
        <v>Passivo</v>
      </c>
      <c r="I6" s="4" t="str">
        <f t="shared" si="1"/>
        <v>2.1</v>
      </c>
      <c r="J6" s="4" t="str">
        <f>VLOOKUP(I6,'Plano de Contas '!A:B,2,0)</f>
        <v>Passivo circulante</v>
      </c>
    </row>
    <row r="7" spans="1:11" x14ac:dyDescent="0.25">
      <c r="A7" s="44" t="s">
        <v>200</v>
      </c>
      <c r="B7" s="1" t="str">
        <f>VLOOKUP(Tabela25859[[#This Row],[Código]],Plano_De_Contas[],2,0)</f>
        <v>Banco Yamaha Motor</v>
      </c>
      <c r="C7" s="109">
        <v>0</v>
      </c>
      <c r="D7" s="2"/>
      <c r="E7" s="109"/>
      <c r="F7" s="109">
        <f>SUM((Tabela25859[[#This Row],[Saldo Inicial]]+Tabela25859[[#This Row],[Entrada]])-Tabela25859[[#This Row],[Saída]])</f>
        <v>0</v>
      </c>
      <c r="G7" s="107" t="str">
        <f t="shared" si="0"/>
        <v>2.</v>
      </c>
      <c r="H7" s="4" t="str">
        <f>VLOOKUP(G7,'Plano de Contas '!A:B,2,0)</f>
        <v>Passivo</v>
      </c>
      <c r="I7" s="4" t="str">
        <f t="shared" si="1"/>
        <v>2.1</v>
      </c>
      <c r="J7" s="4" t="str">
        <f>VLOOKUP(I7,'Plano de Contas '!A:B,2,0)</f>
        <v>Passivo circulante</v>
      </c>
    </row>
    <row r="8" spans="1:11" x14ac:dyDescent="0.25">
      <c r="A8" s="44" t="s">
        <v>201</v>
      </c>
      <c r="B8" s="1" t="str">
        <f>VLOOKUP(Tabela25859[[#This Row],[Código]],Plano_De_Contas[],2,0)</f>
        <v>Bella Viola Madeiras</v>
      </c>
      <c r="C8" s="109">
        <v>0</v>
      </c>
      <c r="D8" s="2"/>
      <c r="E8" s="109"/>
      <c r="F8" s="109">
        <f>SUM((Tabela25859[[#This Row],[Saldo Inicial]]+Tabela25859[[#This Row],[Entrada]])-Tabela25859[[#This Row],[Saída]])</f>
        <v>0</v>
      </c>
      <c r="G8" s="4" t="str">
        <f t="shared" si="0"/>
        <v>2.</v>
      </c>
      <c r="H8" s="4" t="str">
        <f>VLOOKUP(G8,'Plano de Contas '!A:B,2,0)</f>
        <v>Passivo</v>
      </c>
      <c r="I8" s="4" t="str">
        <f t="shared" si="1"/>
        <v>2.1</v>
      </c>
      <c r="J8" s="4" t="str">
        <f>VLOOKUP(I8,'Plano de Contas '!A:B,2,0)</f>
        <v>Passivo circulante</v>
      </c>
    </row>
    <row r="9" spans="1:11" x14ac:dyDescent="0.25">
      <c r="A9" s="33" t="s">
        <v>68</v>
      </c>
      <c r="B9" s="1" t="str">
        <f>VLOOKUP(Tabela25859[[#This Row],[Código]],Plano_De_Contas[],2,0)</f>
        <v>Lucros Acumulados</v>
      </c>
      <c r="C9" s="109">
        <f>'BP Inicial'!C30</f>
        <v>15000</v>
      </c>
      <c r="D9" s="2"/>
      <c r="E9" s="109">
        <f>-Tabela9[[#Totals],[Valor]]</f>
        <v>13485.21</v>
      </c>
      <c r="F9" s="109">
        <f>SUM((Tabela25859[[#This Row],[Saldo Inicial]]+Tabela25859[[#This Row],[Entrada]])-Tabela25859[[#This Row],[Saída]])</f>
        <v>1514.7900000000009</v>
      </c>
      <c r="G9" s="4" t="str">
        <f t="shared" si="0"/>
        <v>2.</v>
      </c>
      <c r="H9" s="4" t="str">
        <f>VLOOKUP(G9,'Plano de Contas '!A:B,2,0)</f>
        <v>Passivo</v>
      </c>
      <c r="I9" s="4" t="str">
        <f t="shared" si="1"/>
        <v>2.3</v>
      </c>
      <c r="J9" s="4" t="str">
        <f>VLOOKUP(I9,'Plano de Contas '!A:B,2,0)</f>
        <v>Patrimônio Liquido</v>
      </c>
    </row>
    <row r="10" spans="1:11" x14ac:dyDescent="0.25">
      <c r="A10" s="8" t="s">
        <v>36</v>
      </c>
      <c r="B10" s="1" t="str">
        <f>VLOOKUP(Tabela25859[[#This Row],[Código]],Plano_De_Contas[],2,0)</f>
        <v>Despesas Bancárias</v>
      </c>
      <c r="C10" s="109">
        <v>0</v>
      </c>
      <c r="D10" s="2"/>
      <c r="E10" s="109">
        <f>SUM('1° Trimestre'!E4+'1° Trimestre'!E6+Tabela2585[[#This Row],[Valor ]]+'1° Trimestre'!E16+'1° Trimestre'!E18)</f>
        <v>16846.009999999998</v>
      </c>
      <c r="F10" s="109">
        <f>SUM(Tabela25859[[#This Row],[Saída]]-(Tabela25859[[#This Row],[Saldo Inicial]]+Tabela25859[[#This Row],[Entrada]]))</f>
        <v>16846.009999999998</v>
      </c>
      <c r="G10" s="4" t="str">
        <f t="shared" si="0"/>
        <v>3.</v>
      </c>
      <c r="H10" s="4" t="str">
        <f>VLOOKUP(G10,'Plano de Contas '!A:B,2,0)</f>
        <v>Despesas</v>
      </c>
      <c r="I10" s="4" t="str">
        <f t="shared" si="1"/>
        <v>3.2</v>
      </c>
      <c r="J10" s="4" t="str">
        <f>VLOOKUP(I10,'Plano de Contas '!A:B,2,0)</f>
        <v>Despesas Administrativas e Financeiras</v>
      </c>
    </row>
    <row r="11" spans="1:11" x14ac:dyDescent="0.25">
      <c r="A11" s="8" t="s">
        <v>40</v>
      </c>
      <c r="B11" s="1" t="str">
        <f>VLOOKUP(Tabela25859[[#This Row],[Código]],Plano_De_Contas[],2,0)</f>
        <v>Receita Bruta de Vendas</v>
      </c>
      <c r="C11" s="109">
        <v>0</v>
      </c>
      <c r="D11" s="2">
        <f>SUM('1° Trimestre'!E9+'1° Trimestre'!E13+'1° Trimestre'!E15+'1° Trimestre'!E23+'1° Trimestre'!E25)</f>
        <v>3360.8</v>
      </c>
      <c r="E11" s="109"/>
      <c r="F11" s="109">
        <f>SUM((Tabela25859[[#This Row],[Saldo Inicial]]+Tabela25859[[#This Row],[Entrada]])-Tabela25859[[#This Row],[Saída]])</f>
        <v>3360.8</v>
      </c>
      <c r="G11" s="4" t="str">
        <f t="shared" si="0"/>
        <v>4.</v>
      </c>
      <c r="H11" s="4" t="str">
        <f>VLOOKUP(G11,'Plano de Contas '!A:B,2,0)</f>
        <v>Receitas</v>
      </c>
      <c r="I11" s="4" t="str">
        <f t="shared" si="1"/>
        <v>4.1</v>
      </c>
      <c r="J11" s="4" t="str">
        <f>VLOOKUP(I11,'Plano de Contas '!A:B,2,0)</f>
        <v>Receitas Operacionais</v>
      </c>
    </row>
    <row r="12" spans="1:11" x14ac:dyDescent="0.25">
      <c r="A12" s="105" t="s">
        <v>53</v>
      </c>
      <c r="B12" s="105"/>
      <c r="C12" s="106"/>
      <c r="D12" s="106"/>
      <c r="E12" s="106"/>
      <c r="F12" s="106"/>
      <c r="G12" s="107"/>
      <c r="H12" s="107"/>
      <c r="I12" s="107"/>
      <c r="J12" s="107"/>
    </row>
    <row r="13" spans="1:11" x14ac:dyDescent="0.25">
      <c r="F13" s="111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9457E-C580-4AE4-AA04-F5FCD088312E}">
  <dimension ref="A1:AA64"/>
  <sheetViews>
    <sheetView workbookViewId="0">
      <selection activeCell="H14" sqref="H14"/>
    </sheetView>
  </sheetViews>
  <sheetFormatPr defaultColWidth="9.109375" defaultRowHeight="15.6" x14ac:dyDescent="0.3"/>
  <cols>
    <col min="1" max="1" width="10.109375" style="18" bestFit="1" customWidth="1"/>
    <col min="2" max="2" width="37.6640625" style="18" bestFit="1" customWidth="1"/>
    <col min="3" max="3" width="20.6640625" style="26" customWidth="1"/>
    <col min="4" max="8" width="20.6640625" customWidth="1"/>
    <col min="9" max="9" width="37.33203125" bestFit="1" customWidth="1"/>
    <col min="10" max="15" width="20.6640625" customWidth="1"/>
    <col min="28" max="16384" width="9.109375" style="18"/>
  </cols>
  <sheetData>
    <row r="1" spans="1:27" x14ac:dyDescent="0.3">
      <c r="A1" s="104" t="s">
        <v>0</v>
      </c>
      <c r="B1" s="104" t="s">
        <v>54</v>
      </c>
      <c r="C1" s="99"/>
    </row>
    <row r="2" spans="1:27" x14ac:dyDescent="0.3">
      <c r="A2" s="17" t="s">
        <v>3</v>
      </c>
      <c r="B2" s="17" t="s">
        <v>4</v>
      </c>
      <c r="C2" s="19" t="s">
        <v>56</v>
      </c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</row>
    <row r="3" spans="1:27" x14ac:dyDescent="0.3">
      <c r="A3" s="20" t="s">
        <v>6</v>
      </c>
      <c r="B3" s="20" t="str">
        <f>VLOOKUP(A3,'Plano de Contas '!A:B,2,0)</f>
        <v>Ativo Circulante</v>
      </c>
      <c r="C3" s="21">
        <f>SUM(C4+C10)</f>
        <v>6514.79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x14ac:dyDescent="0.3">
      <c r="A4" s="22" t="s">
        <v>206</v>
      </c>
      <c r="B4" s="101" t="str">
        <f>VLOOKUP(A4,'Plano de Contas '!A:B,2,0)</f>
        <v>Disponibilidades</v>
      </c>
      <c r="C4" s="23">
        <f>SUM(C5+C6+C8)</f>
        <v>6514.79</v>
      </c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s="24" customFormat="1" x14ac:dyDescent="0.3">
      <c r="A5" s="24" t="s">
        <v>8</v>
      </c>
      <c r="B5" s="24" t="str">
        <f>VLOOKUP(A5,'Plano de Contas '!A:B,2,0)</f>
        <v>Caixa</v>
      </c>
      <c r="C5" s="25">
        <f>Razonete!F2</f>
        <v>5250</v>
      </c>
      <c r="D5"/>
      <c r="E5"/>
      <c r="F5"/>
      <c r="G5"/>
      <c r="H5"/>
      <c r="I5"/>
      <c r="J5"/>
      <c r="K5"/>
      <c r="L5"/>
      <c r="M5"/>
      <c r="N5"/>
      <c r="O5"/>
    </row>
    <row r="6" spans="1:27" s="24" customFormat="1" x14ac:dyDescent="0.3">
      <c r="A6" s="24" t="s">
        <v>10</v>
      </c>
      <c r="B6" s="24" t="str">
        <f>VLOOKUP(A6,'Plano de Contas '!A:B,2,0)</f>
        <v>Banco/Conta/Movimento</v>
      </c>
      <c r="C6" s="25">
        <f>SUM(C7:C7)</f>
        <v>1234.25</v>
      </c>
      <c r="D6"/>
      <c r="E6"/>
      <c r="F6"/>
      <c r="G6"/>
      <c r="H6"/>
      <c r="I6"/>
      <c r="J6"/>
      <c r="K6"/>
      <c r="L6"/>
      <c r="M6"/>
      <c r="N6"/>
      <c r="O6"/>
    </row>
    <row r="7" spans="1:27" x14ac:dyDescent="0.3">
      <c r="A7" s="18" t="s">
        <v>12</v>
      </c>
      <c r="B7" s="18" t="str">
        <f>VLOOKUP(A7,'Plano de Contas '!A:B,2,0)</f>
        <v>Banco 8 (C/C)</v>
      </c>
      <c r="C7" s="26">
        <f>Razonete!F3</f>
        <v>1234.25</v>
      </c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 spans="1:27" s="24" customFormat="1" x14ac:dyDescent="0.3">
      <c r="A8" s="24" t="s">
        <v>13</v>
      </c>
      <c r="B8" s="24" t="str">
        <f>VLOOKUP(A8,'Plano de Contas '!A:B,2,0)</f>
        <v>Aplicação Liquidez Imediata</v>
      </c>
      <c r="C8" s="25">
        <f>SUM(C9:C9)</f>
        <v>30.54</v>
      </c>
      <c r="D8"/>
      <c r="E8"/>
      <c r="F8"/>
      <c r="G8"/>
      <c r="H8"/>
      <c r="I8"/>
      <c r="J8"/>
      <c r="K8"/>
      <c r="L8"/>
      <c r="M8"/>
      <c r="N8"/>
      <c r="O8"/>
    </row>
    <row r="9" spans="1:27" x14ac:dyDescent="0.3">
      <c r="A9" s="18" t="s">
        <v>14</v>
      </c>
      <c r="B9" s="18" t="str">
        <f>VLOOKUP(A9,'Plano de Contas '!A:B,2,0)</f>
        <v>Aplicação Financeira</v>
      </c>
      <c r="C9" s="26">
        <f>Razonete!F4</f>
        <v>30.54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 spans="1:27" x14ac:dyDescent="0.3">
      <c r="A10" s="24" t="s">
        <v>59</v>
      </c>
      <c r="B10" s="24" t="str">
        <f>VLOOKUP(A10,'Plano de Contas '!A:B,2,0)</f>
        <v>Clientes</v>
      </c>
      <c r="C10" s="25">
        <f>SUM(C11:C11)</f>
        <v>0</v>
      </c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 spans="1:27" x14ac:dyDescent="0.3">
      <c r="A11" s="18" t="s">
        <v>61</v>
      </c>
      <c r="B11" s="18" t="str">
        <f>VLOOKUP(A11,'Plano de Contas '!A:B,2,0)</f>
        <v>Tiago Rodrigues Santos</v>
      </c>
      <c r="C11" s="26">
        <f>Razonete!F5</f>
        <v>0</v>
      </c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</row>
    <row r="12" spans="1:27" x14ac:dyDescent="0.3">
      <c r="A12" s="20" t="s">
        <v>16</v>
      </c>
      <c r="B12" s="20" t="str">
        <f>VLOOKUP(A12,'Plano de Contas '!A:B,2,0)</f>
        <v xml:space="preserve">Ativo não cicurlante </v>
      </c>
      <c r="C12" s="21">
        <v>95000</v>
      </c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 spans="1:27" x14ac:dyDescent="0.3">
      <c r="A13" s="27" t="s">
        <v>18</v>
      </c>
      <c r="B13" s="27" t="str">
        <f>VLOOKUP(A13,'Plano de Contas '!A:B,2,0)</f>
        <v>Imobilizado</v>
      </c>
      <c r="C13" s="28">
        <f>SUM(C14)</f>
        <v>95000</v>
      </c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 x14ac:dyDescent="0.3">
      <c r="A14" s="24" t="s">
        <v>20</v>
      </c>
      <c r="B14" s="24" t="str">
        <f>VLOOKUP(A14,'Plano de Contas '!A:B,2,0)</f>
        <v>Software</v>
      </c>
      <c r="C14" s="25">
        <v>95000</v>
      </c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 x14ac:dyDescent="0.3">
      <c r="A15" s="24" t="s">
        <v>53</v>
      </c>
      <c r="B15" s="24"/>
      <c r="C15" s="25">
        <f>SUM(C13+C3)</f>
        <v>101514.79</v>
      </c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</row>
    <row r="16" spans="1:27" s="24" customFormat="1" x14ac:dyDescent="0.3">
      <c r="A16" s="29"/>
      <c r="B16" s="29" t="s">
        <v>57</v>
      </c>
      <c r="C16" s="30">
        <f>Tabela327[[#Totals],[Valor]]</f>
        <v>101514.79</v>
      </c>
      <c r="D16"/>
      <c r="E16"/>
      <c r="F16"/>
      <c r="G16"/>
      <c r="H16"/>
      <c r="I16"/>
      <c r="J16"/>
      <c r="K16"/>
      <c r="L16"/>
      <c r="M16"/>
      <c r="N16"/>
      <c r="O16"/>
    </row>
    <row r="17" spans="1:27" x14ac:dyDescent="0.3">
      <c r="A17" s="29"/>
      <c r="B17" s="29" t="s">
        <v>58</v>
      </c>
      <c r="C17" s="30">
        <f>Tabela638[[#Totals],[Valor]]</f>
        <v>101514.79000000001</v>
      </c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 spans="1:27" s="24" customFormat="1" x14ac:dyDescent="0.3">
      <c r="A18" s="17" t="s">
        <v>0</v>
      </c>
      <c r="B18" s="17" t="s">
        <v>54</v>
      </c>
      <c r="C18" s="99" t="s">
        <v>55</v>
      </c>
      <c r="D18"/>
      <c r="E18"/>
      <c r="F18"/>
      <c r="G18"/>
      <c r="H18"/>
      <c r="I18"/>
      <c r="J18"/>
      <c r="K18"/>
      <c r="L18"/>
      <c r="M18"/>
      <c r="N18"/>
      <c r="O18"/>
    </row>
    <row r="19" spans="1:27" x14ac:dyDescent="0.3">
      <c r="A19" s="17" t="s">
        <v>21</v>
      </c>
      <c r="B19" s="17" t="s">
        <v>22</v>
      </c>
      <c r="C19" s="19" t="s">
        <v>56</v>
      </c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 spans="1:27" s="24" customFormat="1" x14ac:dyDescent="0.3">
      <c r="A20" s="31" t="s">
        <v>23</v>
      </c>
      <c r="B20" s="31" t="str">
        <f>'Plano de Contas '!B16</f>
        <v>Passivo circulante</v>
      </c>
      <c r="C20" s="32">
        <f>SUM(C21:C26)</f>
        <v>0</v>
      </c>
      <c r="D20"/>
      <c r="E20"/>
      <c r="F20"/>
      <c r="G20"/>
      <c r="H20"/>
      <c r="I20"/>
      <c r="J20"/>
      <c r="K20"/>
      <c r="L20"/>
      <c r="M20"/>
      <c r="N20"/>
      <c r="O20"/>
    </row>
    <row r="21" spans="1:27" x14ac:dyDescent="0.3">
      <c r="A21" s="24" t="s">
        <v>25</v>
      </c>
      <c r="B21" s="24" t="str">
        <f>'Plano de Contas '!B17</f>
        <v>Fornecedores</v>
      </c>
      <c r="C21" s="25">
        <f>SUM(C22:C24)</f>
        <v>0</v>
      </c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 spans="1:27" x14ac:dyDescent="0.3">
      <c r="A22" s="18" t="s">
        <v>191</v>
      </c>
      <c r="B22" s="18" t="str">
        <f>'Plano de Contas '!B18</f>
        <v>Pluggy</v>
      </c>
      <c r="C22" s="26">
        <v>0</v>
      </c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</row>
    <row r="23" spans="1:27" x14ac:dyDescent="0.3">
      <c r="A23" s="18" t="s">
        <v>200</v>
      </c>
      <c r="B23" s="18" t="str">
        <f>'Plano de Contas '!B19</f>
        <v>Banco Yamaha Motor</v>
      </c>
      <c r="C23" s="26">
        <v>0</v>
      </c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 spans="1:27" x14ac:dyDescent="0.3">
      <c r="A24" s="18" t="s">
        <v>201</v>
      </c>
      <c r="B24" s="18" t="str">
        <f>'Plano de Contas '!B20</f>
        <v>Bella Viola Madeiras</v>
      </c>
      <c r="C24" s="26">
        <v>0</v>
      </c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 spans="1:27" s="24" customFormat="1" x14ac:dyDescent="0.3">
      <c r="A25" s="24" t="s">
        <v>26</v>
      </c>
      <c r="B25" s="24" t="str">
        <f>'Plano de Contas '!B21</f>
        <v>Empréstimos e Financiamentos</v>
      </c>
      <c r="C25" s="25">
        <v>0</v>
      </c>
      <c r="D25"/>
      <c r="E25"/>
      <c r="F25"/>
      <c r="G25"/>
      <c r="H25"/>
      <c r="I25"/>
      <c r="J25"/>
      <c r="K25"/>
      <c r="L25"/>
      <c r="M25"/>
      <c r="N25"/>
      <c r="O25"/>
    </row>
    <row r="26" spans="1:27" x14ac:dyDescent="0.3">
      <c r="A26" s="24" t="s">
        <v>27</v>
      </c>
      <c r="B26" s="24" t="str">
        <f>'Plano de Contas '!B22</f>
        <v>Contas a Pagar</v>
      </c>
      <c r="C26" s="25">
        <v>0</v>
      </c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 spans="1:27" s="24" customFormat="1" x14ac:dyDescent="0.3">
      <c r="A27" s="31" t="s">
        <v>29</v>
      </c>
      <c r="B27" s="31" t="str">
        <f>'Plano de Contas '!B23</f>
        <v>Patrimônio Liquido</v>
      </c>
      <c r="C27" s="32">
        <f>SUM(C28+C30+C31)</f>
        <v>101514.79000000001</v>
      </c>
      <c r="D27"/>
      <c r="E27"/>
      <c r="F27"/>
      <c r="G27"/>
      <c r="H27"/>
      <c r="I27"/>
      <c r="J27"/>
      <c r="K27"/>
      <c r="L27"/>
      <c r="M27"/>
      <c r="N27"/>
      <c r="O27"/>
    </row>
    <row r="28" spans="1:27" x14ac:dyDescent="0.3">
      <c r="A28" s="24" t="s">
        <v>31</v>
      </c>
      <c r="B28" s="24" t="str">
        <f>'Plano de Contas '!B24</f>
        <v>Capital Social</v>
      </c>
      <c r="C28" s="25">
        <v>100000</v>
      </c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</row>
    <row r="29" spans="1:27" s="24" customFormat="1" x14ac:dyDescent="0.3">
      <c r="A29" s="24" t="s">
        <v>32</v>
      </c>
      <c r="B29" s="24" t="str">
        <f>'Plano de Contas '!B25</f>
        <v>Capital a Integralizar</v>
      </c>
      <c r="C29" s="25">
        <v>0</v>
      </c>
      <c r="D29"/>
      <c r="E29"/>
      <c r="F29"/>
      <c r="G29"/>
      <c r="H29"/>
      <c r="I29"/>
      <c r="J29"/>
      <c r="K29"/>
      <c r="L29"/>
      <c r="M29"/>
      <c r="N29"/>
      <c r="O29"/>
    </row>
    <row r="30" spans="1:27" x14ac:dyDescent="0.3">
      <c r="A30" s="24" t="s">
        <v>68</v>
      </c>
      <c r="B30" s="24" t="str">
        <f>'Plano de Contas '!B26</f>
        <v>Lucros Acumulados</v>
      </c>
      <c r="C30" s="25">
        <f>Razonete!F9</f>
        <v>1514.7900000000009</v>
      </c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 spans="1:27" s="24" customFormat="1" x14ac:dyDescent="0.3">
      <c r="A31" s="24" t="s">
        <v>73</v>
      </c>
      <c r="B31" s="24" t="str">
        <f>'Plano de Contas '!B27</f>
        <v>Reserva de Lucros</v>
      </c>
      <c r="C31" s="25">
        <v>0</v>
      </c>
      <c r="D31"/>
      <c r="E31"/>
      <c r="F31"/>
      <c r="G31"/>
      <c r="H31"/>
      <c r="I31"/>
      <c r="J31"/>
      <c r="K31"/>
      <c r="L31"/>
      <c r="M31"/>
      <c r="N31"/>
      <c r="O31"/>
    </row>
    <row r="32" spans="1:27" x14ac:dyDescent="0.3">
      <c r="A32" s="18" t="s">
        <v>53</v>
      </c>
      <c r="C32" s="26">
        <f>SUM(C27)</f>
        <v>101514.79000000001</v>
      </c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</row>
    <row r="33" spans="1:27" x14ac:dyDescent="0.3"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 spans="1:27" s="24" customFormat="1" x14ac:dyDescent="0.3">
      <c r="A34" s="18"/>
      <c r="B34" s="18" t="s">
        <v>213</v>
      </c>
      <c r="C34" s="26" t="s">
        <v>56</v>
      </c>
      <c r="D34"/>
      <c r="E34"/>
      <c r="F34"/>
      <c r="G34"/>
      <c r="H34"/>
      <c r="I34"/>
      <c r="J34"/>
      <c r="K34"/>
      <c r="L34"/>
      <c r="M34"/>
      <c r="N34"/>
      <c r="O34"/>
    </row>
    <row r="35" spans="1:27" s="24" customFormat="1" x14ac:dyDescent="0.3">
      <c r="A35" s="18"/>
      <c r="B35" s="18" t="s">
        <v>214</v>
      </c>
      <c r="C35" s="113">
        <f>Razonete!F11</f>
        <v>3360.8</v>
      </c>
      <c r="D35"/>
      <c r="E35"/>
      <c r="F35"/>
      <c r="G35"/>
      <c r="H35"/>
      <c r="I35"/>
      <c r="J35"/>
      <c r="K35"/>
      <c r="L35"/>
      <c r="M35"/>
      <c r="N35"/>
      <c r="O35"/>
    </row>
    <row r="36" spans="1:27" s="24" customFormat="1" x14ac:dyDescent="0.3">
      <c r="A36" s="18"/>
      <c r="B36" s="18" t="s">
        <v>210</v>
      </c>
      <c r="C36" s="113">
        <f>Razonete!F10</f>
        <v>16846.009999999998</v>
      </c>
      <c r="D36"/>
      <c r="E36"/>
      <c r="F36"/>
      <c r="G36"/>
      <c r="H36"/>
      <c r="I36"/>
      <c r="J36"/>
      <c r="K36"/>
      <c r="L36"/>
      <c r="M36"/>
      <c r="N36"/>
      <c r="O36"/>
    </row>
    <row r="37" spans="1:27" x14ac:dyDescent="0.3">
      <c r="B37" s="112" t="s">
        <v>53</v>
      </c>
      <c r="C37" s="114">
        <f>SUM(C35-C36)</f>
        <v>-13485.21</v>
      </c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 spans="1:27" x14ac:dyDescent="0.3">
      <c r="F38" s="16"/>
    </row>
    <row r="41" spans="1:27" x14ac:dyDescent="0.3"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</row>
    <row r="42" spans="1:27" x14ac:dyDescent="0.3"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 spans="1:27" x14ac:dyDescent="0.3"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 spans="1:27" x14ac:dyDescent="0.3"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 spans="1:27" x14ac:dyDescent="0.3"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</row>
    <row r="46" spans="1:27" x14ac:dyDescent="0.3"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 spans="1:27" x14ac:dyDescent="0.3"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 spans="1:27" x14ac:dyDescent="0.3"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 spans="16:27" x14ac:dyDescent="0.3"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 spans="16:27" x14ac:dyDescent="0.3"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 spans="16:27" x14ac:dyDescent="0.3"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</row>
    <row r="52" spans="16:27" x14ac:dyDescent="0.3"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 spans="16:27" x14ac:dyDescent="0.3"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</row>
    <row r="54" spans="16:27" x14ac:dyDescent="0.3"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 spans="16:27" x14ac:dyDescent="0.3"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 spans="16:27" x14ac:dyDescent="0.3"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 spans="16:27" x14ac:dyDescent="0.3"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</row>
    <row r="58" spans="16:27" x14ac:dyDescent="0.3"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 spans="16:27" x14ac:dyDescent="0.3"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 spans="16:27" x14ac:dyDescent="0.3"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 spans="16:27" x14ac:dyDescent="0.3"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 spans="16:27" x14ac:dyDescent="0.3"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6:27" x14ac:dyDescent="0.3"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 spans="16:27" x14ac:dyDescent="0.3"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</sheetData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00956-AE9C-443A-B148-EC141F477015}">
  <dimension ref="A1:C26"/>
  <sheetViews>
    <sheetView workbookViewId="0">
      <selection activeCell="B11" sqref="B11"/>
    </sheetView>
  </sheetViews>
  <sheetFormatPr defaultColWidth="8.88671875" defaultRowHeight="15" x14ac:dyDescent="0.25"/>
  <cols>
    <col min="1" max="1" width="3.5546875" style="46" bestFit="1" customWidth="1"/>
    <col min="2" max="2" width="63.6640625" style="35" bestFit="1" customWidth="1"/>
    <col min="3" max="3" width="15.77734375" style="35" bestFit="1" customWidth="1"/>
    <col min="4" max="16384" width="8.88671875" style="35"/>
  </cols>
  <sheetData>
    <row r="1" spans="1:3" ht="16.2" thickBot="1" x14ac:dyDescent="0.35">
      <c r="A1" s="122" t="s">
        <v>77</v>
      </c>
      <c r="B1" s="123"/>
      <c r="C1" s="124"/>
    </row>
    <row r="2" spans="1:3" x14ac:dyDescent="0.25">
      <c r="A2" s="36"/>
      <c r="B2" s="37" t="s">
        <v>78</v>
      </c>
      <c r="C2" s="38"/>
    </row>
    <row r="3" spans="1:3" x14ac:dyDescent="0.25">
      <c r="A3" s="39" t="s">
        <v>79</v>
      </c>
      <c r="B3" s="35" t="s">
        <v>80</v>
      </c>
      <c r="C3" s="40">
        <f>Razonete!E5</f>
        <v>15000</v>
      </c>
    </row>
    <row r="4" spans="1:3" x14ac:dyDescent="0.25">
      <c r="A4" s="39" t="s">
        <v>63</v>
      </c>
      <c r="B4" s="35" t="s">
        <v>81</v>
      </c>
      <c r="C4" s="40">
        <v>0</v>
      </c>
    </row>
    <row r="5" spans="1:3" x14ac:dyDescent="0.25">
      <c r="A5" s="39" t="s">
        <v>82</v>
      </c>
      <c r="B5" s="35" t="s">
        <v>83</v>
      </c>
      <c r="C5" s="40">
        <v>0</v>
      </c>
    </row>
    <row r="6" spans="1:3" x14ac:dyDescent="0.25">
      <c r="A6" s="39" t="s">
        <v>82</v>
      </c>
      <c r="B6" s="35" t="s">
        <v>100</v>
      </c>
      <c r="C6" s="40">
        <v>0</v>
      </c>
    </row>
    <row r="7" spans="1:3" ht="15.6" thickBot="1" x14ac:dyDescent="0.3">
      <c r="A7" s="39" t="s">
        <v>82</v>
      </c>
      <c r="B7" s="35" t="s">
        <v>99</v>
      </c>
      <c r="C7" s="40">
        <f>Razonete!E10</f>
        <v>16846.009999999998</v>
      </c>
    </row>
    <row r="8" spans="1:3" ht="16.2" thickBot="1" x14ac:dyDescent="0.35">
      <c r="A8" s="47" t="s">
        <v>64</v>
      </c>
      <c r="B8" s="48" t="s">
        <v>84</v>
      </c>
      <c r="C8" s="49">
        <f>SUM(C3-C7)</f>
        <v>-1846.0099999999984</v>
      </c>
    </row>
    <row r="9" spans="1:3" x14ac:dyDescent="0.25">
      <c r="A9" s="36"/>
      <c r="B9" s="37" t="s">
        <v>85</v>
      </c>
      <c r="C9" s="38"/>
    </row>
    <row r="10" spans="1:3" x14ac:dyDescent="0.25">
      <c r="A10" s="39" t="s">
        <v>79</v>
      </c>
      <c r="B10" s="35" t="s">
        <v>86</v>
      </c>
      <c r="C10" s="40">
        <v>0</v>
      </c>
    </row>
    <row r="11" spans="1:3" x14ac:dyDescent="0.25">
      <c r="A11" s="39" t="s">
        <v>79</v>
      </c>
      <c r="B11" s="35" t="s">
        <v>87</v>
      </c>
      <c r="C11" s="40">
        <v>0</v>
      </c>
    </row>
    <row r="12" spans="1:3" x14ac:dyDescent="0.25">
      <c r="A12" s="39" t="s">
        <v>63</v>
      </c>
      <c r="B12" s="35" t="s">
        <v>101</v>
      </c>
      <c r="C12" s="40">
        <v>0</v>
      </c>
    </row>
    <row r="13" spans="1:3" ht="15.6" thickBot="1" x14ac:dyDescent="0.3">
      <c r="A13" s="41" t="s">
        <v>79</v>
      </c>
      <c r="B13" s="42" t="s">
        <v>88</v>
      </c>
      <c r="C13" s="43">
        <v>0</v>
      </c>
    </row>
    <row r="14" spans="1:3" ht="16.2" thickBot="1" x14ac:dyDescent="0.35">
      <c r="A14" s="47" t="s">
        <v>64</v>
      </c>
      <c r="B14" s="48" t="s">
        <v>89</v>
      </c>
      <c r="C14" s="49">
        <f>SUM(C10:C11,C13-C12)</f>
        <v>0</v>
      </c>
    </row>
    <row r="15" spans="1:3" x14ac:dyDescent="0.25">
      <c r="A15" s="36"/>
      <c r="B15" s="37" t="s">
        <v>90</v>
      </c>
      <c r="C15" s="38"/>
    </row>
    <row r="16" spans="1:3" x14ac:dyDescent="0.25">
      <c r="A16" s="39" t="s">
        <v>79</v>
      </c>
      <c r="B16" s="35" t="str">
        <f>'[1]DFC aula 9'!A5</f>
        <v>Tít.a Receber</v>
      </c>
      <c r="C16" s="40">
        <v>0</v>
      </c>
    </row>
    <row r="17" spans="1:3" x14ac:dyDescent="0.25">
      <c r="A17" s="39" t="s">
        <v>79</v>
      </c>
      <c r="B17" s="35" t="s">
        <v>102</v>
      </c>
      <c r="C17" s="40">
        <v>0</v>
      </c>
    </row>
    <row r="18" spans="1:3" x14ac:dyDescent="0.25">
      <c r="A18" s="39" t="s">
        <v>79</v>
      </c>
      <c r="B18" s="35" t="s">
        <v>103</v>
      </c>
      <c r="C18" s="40">
        <v>0</v>
      </c>
    </row>
    <row r="19" spans="1:3" x14ac:dyDescent="0.25">
      <c r="A19" s="39" t="s">
        <v>79</v>
      </c>
      <c r="B19" s="35" t="s">
        <v>91</v>
      </c>
      <c r="C19" s="40">
        <v>0</v>
      </c>
    </row>
    <row r="20" spans="1:3" x14ac:dyDescent="0.25">
      <c r="A20" s="39" t="s">
        <v>104</v>
      </c>
      <c r="B20" s="35" t="s">
        <v>105</v>
      </c>
      <c r="C20" s="40">
        <v>0</v>
      </c>
    </row>
    <row r="21" spans="1:3" x14ac:dyDescent="0.25">
      <c r="A21" s="39" t="s">
        <v>63</v>
      </c>
      <c r="B21" s="35" t="s">
        <v>106</v>
      </c>
      <c r="C21" s="40">
        <v>0</v>
      </c>
    </row>
    <row r="22" spans="1:3" ht="15.6" thickBot="1" x14ac:dyDescent="0.3">
      <c r="A22" s="39" t="s">
        <v>63</v>
      </c>
      <c r="B22" s="35" t="s">
        <v>92</v>
      </c>
      <c r="C22" s="40">
        <v>0</v>
      </c>
    </row>
    <row r="23" spans="1:3" ht="16.2" thickBot="1" x14ac:dyDescent="0.35">
      <c r="A23" s="47" t="s">
        <v>64</v>
      </c>
      <c r="B23" s="48" t="s">
        <v>93</v>
      </c>
      <c r="C23" s="49" cm="1">
        <f t="array" ref="C23">SUM(C16:C20,-C21:C22)</f>
        <v>0</v>
      </c>
    </row>
    <row r="24" spans="1:3" ht="15.6" x14ac:dyDescent="0.3">
      <c r="A24" s="50"/>
      <c r="B24" s="51" t="s">
        <v>94</v>
      </c>
      <c r="C24" s="52">
        <f>C8+C14+C23</f>
        <v>-1846.0099999999984</v>
      </c>
    </row>
    <row r="25" spans="1:3" ht="15.6" x14ac:dyDescent="0.3">
      <c r="A25" s="53"/>
      <c r="B25" s="54" t="s">
        <v>95</v>
      </c>
      <c r="C25" s="55">
        <f>'BP Inicial'!C4</f>
        <v>5000</v>
      </c>
    </row>
    <row r="26" spans="1:3" ht="16.2" thickBot="1" x14ac:dyDescent="0.35">
      <c r="A26" s="56"/>
      <c r="B26" s="57" t="s">
        <v>96</v>
      </c>
      <c r="C26" s="58">
        <f>'Balanço Patrimonial'!C4</f>
        <v>6514.79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46B07-0C5C-43BF-A9B3-1492DC5F507B}">
  <dimension ref="A1:I62"/>
  <sheetViews>
    <sheetView topLeftCell="A6" zoomScale="64" zoomScaleNormal="115" workbookViewId="0">
      <selection activeCell="F43" sqref="A28:F43"/>
    </sheetView>
  </sheetViews>
  <sheetFormatPr defaultColWidth="8.88671875" defaultRowHeight="15" x14ac:dyDescent="0.25"/>
  <cols>
    <col min="1" max="1" width="18.6640625" style="105" customWidth="1"/>
    <col min="2" max="2" width="40.6640625" style="105" customWidth="1"/>
    <col min="3" max="3" width="25" style="105" bestFit="1" customWidth="1"/>
    <col min="4" max="4" width="18.6640625" style="105" customWidth="1"/>
    <col min="5" max="5" width="40.6640625" style="105" customWidth="1"/>
    <col min="6" max="6" width="22.44140625" style="105" bestFit="1" customWidth="1"/>
    <col min="7" max="7" width="8.88671875" style="105"/>
    <col min="8" max="8" width="43" style="105" bestFit="1" customWidth="1"/>
    <col min="9" max="9" width="16" style="105" bestFit="1" customWidth="1"/>
    <col min="10" max="16384" width="8.88671875" style="105"/>
  </cols>
  <sheetData>
    <row r="1" spans="1:9" ht="21" x14ac:dyDescent="0.4">
      <c r="A1" s="127" t="s">
        <v>215</v>
      </c>
      <c r="B1" s="127"/>
      <c r="C1" s="127"/>
      <c r="D1" s="127"/>
      <c r="E1" s="127"/>
      <c r="F1" s="127"/>
    </row>
    <row r="2" spans="1:9" ht="17.399999999999999" x14ac:dyDescent="0.3">
      <c r="A2" s="125"/>
      <c r="B2" s="125"/>
      <c r="C2" s="125"/>
      <c r="D2" s="60"/>
      <c r="E2" s="60" t="s">
        <v>121</v>
      </c>
      <c r="F2" s="61">
        <f>SUM(Tabela14[[#Totals],[Valor de Entrada]]-Tabela14[[#Totals],[Valor de Saída]])</f>
        <v>1234.25</v>
      </c>
      <c r="H2" s="105" t="s">
        <v>1</v>
      </c>
      <c r="I2" s="105" t="s">
        <v>56</v>
      </c>
    </row>
    <row r="3" spans="1:9" ht="16.2" thickBot="1" x14ac:dyDescent="0.35">
      <c r="A3" s="80" t="s">
        <v>119</v>
      </c>
      <c r="B3" s="72" t="s">
        <v>1</v>
      </c>
      <c r="C3" s="73" t="s">
        <v>56</v>
      </c>
      <c r="D3" s="62"/>
      <c r="E3" s="62"/>
      <c r="F3" s="63"/>
      <c r="H3" s="105" t="s">
        <v>216</v>
      </c>
      <c r="I3" s="106">
        <f>SUM(C7+C10+C18)</f>
        <v>16900.78</v>
      </c>
    </row>
    <row r="4" spans="1:9" ht="15.6" x14ac:dyDescent="0.3">
      <c r="A4" s="81"/>
      <c r="B4" s="74" t="s">
        <v>120</v>
      </c>
      <c r="C4" s="75">
        <f>Razonete!C3</f>
        <v>0</v>
      </c>
      <c r="D4" s="60"/>
      <c r="E4" s="60" t="s">
        <v>122</v>
      </c>
      <c r="F4" s="61">
        <f>SUM((C4+Tabela14[[#Totals],[Valor de Entrada]])-Tabela14[[#Totals],[Valor de Saída]])</f>
        <v>1234.25</v>
      </c>
      <c r="H4" s="105" t="s">
        <v>217</v>
      </c>
      <c r="I4" s="106">
        <f>C16</f>
        <v>19.46</v>
      </c>
    </row>
    <row r="5" spans="1:9" ht="17.399999999999999" x14ac:dyDescent="0.3">
      <c r="A5" s="126" t="s">
        <v>139</v>
      </c>
      <c r="B5" s="126"/>
      <c r="C5" s="126"/>
      <c r="D5" s="126" t="s">
        <v>142</v>
      </c>
      <c r="E5" s="126"/>
      <c r="F5" s="126"/>
      <c r="H5" s="105" t="s">
        <v>218</v>
      </c>
      <c r="I5" s="106">
        <f>SUM(C17+C13+C12)</f>
        <v>1460.0200000000002</v>
      </c>
    </row>
    <row r="6" spans="1:9" ht="15.6" x14ac:dyDescent="0.3">
      <c r="A6" s="80" t="s">
        <v>141</v>
      </c>
      <c r="B6" s="72" t="s">
        <v>183</v>
      </c>
      <c r="C6" s="73" t="s">
        <v>186</v>
      </c>
      <c r="D6" s="73" t="s">
        <v>140</v>
      </c>
      <c r="E6" s="78" t="s">
        <v>184</v>
      </c>
      <c r="F6" s="79" t="s">
        <v>187</v>
      </c>
      <c r="H6" s="105" t="s">
        <v>219</v>
      </c>
      <c r="I6" s="106">
        <f>SUM(F9+F11+F19)</f>
        <v>501.02</v>
      </c>
    </row>
    <row r="7" spans="1:9" x14ac:dyDescent="0.25">
      <c r="A7" s="93">
        <v>44622</v>
      </c>
      <c r="B7" s="120" t="s">
        <v>118</v>
      </c>
      <c r="C7" s="94">
        <v>15000</v>
      </c>
      <c r="D7" s="95"/>
      <c r="E7" s="96"/>
      <c r="F7" s="97"/>
      <c r="H7" s="105" t="s">
        <v>156</v>
      </c>
      <c r="I7" s="106">
        <f>SUM(F8+F14+F15)</f>
        <v>16644.990000000002</v>
      </c>
    </row>
    <row r="8" spans="1:9" x14ac:dyDescent="0.25">
      <c r="A8" s="93"/>
      <c r="B8" s="96"/>
      <c r="C8" s="97"/>
      <c r="D8" s="93">
        <v>44630</v>
      </c>
      <c r="E8" s="120" t="s">
        <v>117</v>
      </c>
      <c r="F8" s="97">
        <v>544.99</v>
      </c>
      <c r="I8" s="106"/>
    </row>
    <row r="9" spans="1:9" x14ac:dyDescent="0.25">
      <c r="A9" s="98"/>
      <c r="B9" s="96"/>
      <c r="C9" s="97"/>
      <c r="D9" s="121">
        <v>44658</v>
      </c>
      <c r="E9" s="120" t="s">
        <v>116</v>
      </c>
      <c r="F9" s="97">
        <v>1.02</v>
      </c>
    </row>
    <row r="10" spans="1:9" x14ac:dyDescent="0.25">
      <c r="A10" s="121">
        <v>44691</v>
      </c>
      <c r="B10" s="120" t="s">
        <v>115</v>
      </c>
      <c r="C10" s="97">
        <v>1000</v>
      </c>
      <c r="D10" s="93"/>
      <c r="E10" s="96"/>
      <c r="F10" s="97"/>
    </row>
    <row r="11" spans="1:9" x14ac:dyDescent="0.25">
      <c r="A11" s="98"/>
      <c r="B11" s="96"/>
      <c r="C11" s="97"/>
      <c r="D11" s="121">
        <v>44692</v>
      </c>
      <c r="E11" s="120" t="s">
        <v>114</v>
      </c>
      <c r="F11" s="97">
        <v>200</v>
      </c>
    </row>
    <row r="12" spans="1:9" x14ac:dyDescent="0.25">
      <c r="A12" s="121">
        <v>44774</v>
      </c>
      <c r="B12" s="120" t="s">
        <v>188</v>
      </c>
      <c r="C12" s="97">
        <v>4.88</v>
      </c>
      <c r="D12" s="93"/>
      <c r="E12" s="96"/>
      <c r="F12" s="97"/>
    </row>
    <row r="13" spans="1:9" x14ac:dyDescent="0.25">
      <c r="A13" s="121">
        <v>44803</v>
      </c>
      <c r="B13" s="120" t="s">
        <v>113</v>
      </c>
      <c r="C13" s="97">
        <v>19.5</v>
      </c>
      <c r="D13" s="93"/>
      <c r="E13" s="96"/>
      <c r="F13" s="97"/>
    </row>
    <row r="14" spans="1:9" x14ac:dyDescent="0.25">
      <c r="A14" s="98"/>
      <c r="B14" s="96"/>
      <c r="C14" s="97"/>
      <c r="D14" s="121">
        <v>44805</v>
      </c>
      <c r="E14" s="120" t="s">
        <v>112</v>
      </c>
      <c r="F14" s="97">
        <v>16000</v>
      </c>
    </row>
    <row r="15" spans="1:9" x14ac:dyDescent="0.25">
      <c r="A15" s="98"/>
      <c r="B15" s="96"/>
      <c r="C15" s="97"/>
      <c r="D15" s="121">
        <v>44809</v>
      </c>
      <c r="E15" s="120" t="s">
        <v>111</v>
      </c>
      <c r="F15" s="97">
        <v>100</v>
      </c>
    </row>
    <row r="16" spans="1:9" x14ac:dyDescent="0.25">
      <c r="A16" s="121">
        <v>44809</v>
      </c>
      <c r="B16" s="120" t="s">
        <v>185</v>
      </c>
      <c r="C16" s="97">
        <v>19.46</v>
      </c>
      <c r="D16" s="93"/>
      <c r="E16" s="96"/>
      <c r="F16" s="97"/>
    </row>
    <row r="17" spans="1:7" x14ac:dyDescent="0.25">
      <c r="A17" s="121">
        <v>44814</v>
      </c>
      <c r="B17" s="120" t="s">
        <v>110</v>
      </c>
      <c r="C17" s="97">
        <v>1435.64</v>
      </c>
      <c r="D17" s="93"/>
      <c r="E17" s="96"/>
      <c r="F17" s="97"/>
    </row>
    <row r="18" spans="1:7" x14ac:dyDescent="0.25">
      <c r="A18" s="121">
        <v>44815</v>
      </c>
      <c r="B18" s="120" t="s">
        <v>109</v>
      </c>
      <c r="C18" s="97">
        <v>900.78</v>
      </c>
      <c r="D18" s="93"/>
      <c r="E18" s="96"/>
      <c r="F18" s="97"/>
    </row>
    <row r="19" spans="1:7" x14ac:dyDescent="0.25">
      <c r="A19" s="98"/>
      <c r="B19" s="96"/>
      <c r="C19" s="97"/>
      <c r="D19" s="121">
        <v>44816</v>
      </c>
      <c r="E19" s="120" t="s">
        <v>108</v>
      </c>
      <c r="F19" s="97">
        <v>300</v>
      </c>
    </row>
    <row r="20" spans="1:7" x14ac:dyDescent="0.25">
      <c r="A20" s="76" t="s">
        <v>53</v>
      </c>
      <c r="B20" s="76"/>
      <c r="C20" s="77">
        <f>SUM(Tabela14[Valor de Entrada])</f>
        <v>18380.259999999998</v>
      </c>
      <c r="D20" s="76"/>
      <c r="E20" s="76"/>
      <c r="F20" s="77">
        <f>SUM(Tabela14[Valor de Saída])</f>
        <v>17146.009999999998</v>
      </c>
    </row>
    <row r="21" spans="1:7" x14ac:dyDescent="0.25">
      <c r="A21" s="76"/>
      <c r="B21" s="76"/>
      <c r="C21" s="77"/>
      <c r="D21" s="76"/>
      <c r="E21" s="76"/>
      <c r="F21" s="77"/>
    </row>
    <row r="22" spans="1:7" ht="17.399999999999999" x14ac:dyDescent="0.3">
      <c r="A22" s="91" t="s">
        <v>182</v>
      </c>
      <c r="B22" s="91"/>
      <c r="C22" s="92"/>
      <c r="D22" s="89"/>
      <c r="E22" s="89"/>
      <c r="F22" s="90"/>
    </row>
    <row r="23" spans="1:7" ht="15.6" x14ac:dyDescent="0.3">
      <c r="A23" s="115"/>
      <c r="B23" s="64" t="s">
        <v>123</v>
      </c>
      <c r="C23" s="65">
        <v>0</v>
      </c>
      <c r="D23" s="65"/>
      <c r="E23" s="65"/>
      <c r="F23" s="65"/>
    </row>
    <row r="24" spans="1:7" ht="15.6" x14ac:dyDescent="0.3">
      <c r="A24" s="115"/>
      <c r="B24" s="64" t="s">
        <v>124</v>
      </c>
      <c r="C24" s="65">
        <v>0</v>
      </c>
      <c r="D24" s="116"/>
      <c r="E24" s="51" t="s">
        <v>127</v>
      </c>
      <c r="F24" s="66">
        <f>SUM((C4+Tabela14[[#Totals],[Valor de Entrada]])-Tabela14[[#Totals],[Valor de Saída]])</f>
        <v>1234.25</v>
      </c>
    </row>
    <row r="25" spans="1:7" ht="15.6" x14ac:dyDescent="0.3">
      <c r="A25" s="115"/>
      <c r="B25" s="64" t="s">
        <v>125</v>
      </c>
      <c r="C25" s="65">
        <v>0</v>
      </c>
      <c r="D25" s="116"/>
      <c r="E25" s="51" t="s">
        <v>128</v>
      </c>
      <c r="F25" s="66">
        <v>0</v>
      </c>
    </row>
    <row r="26" spans="1:7" ht="15.6" x14ac:dyDescent="0.3">
      <c r="A26" s="115"/>
      <c r="B26" s="64" t="s">
        <v>126</v>
      </c>
      <c r="C26" s="65">
        <v>19.46</v>
      </c>
      <c r="D26" s="65"/>
      <c r="E26" s="65"/>
      <c r="F26" s="65"/>
    </row>
    <row r="28" spans="1:7" x14ac:dyDescent="0.25">
      <c r="A28" s="133"/>
      <c r="B28" s="133"/>
      <c r="C28" s="133"/>
      <c r="D28" s="133"/>
      <c r="E28" s="133"/>
      <c r="F28" s="133"/>
      <c r="G28" s="133"/>
    </row>
    <row r="29" spans="1:7" x14ac:dyDescent="0.25">
      <c r="A29" s="134"/>
      <c r="B29" s="133"/>
      <c r="C29" s="135"/>
      <c r="D29" s="133"/>
      <c r="E29" s="133"/>
      <c r="F29" s="133"/>
      <c r="G29" s="133"/>
    </row>
    <row r="30" spans="1:7" x14ac:dyDescent="0.25">
      <c r="A30" s="133"/>
      <c r="B30" s="133"/>
      <c r="C30" s="133"/>
      <c r="D30" s="134"/>
      <c r="E30" s="133"/>
      <c r="F30" s="133"/>
      <c r="G30" s="133"/>
    </row>
    <row r="31" spans="1:7" x14ac:dyDescent="0.25">
      <c r="A31" s="133"/>
      <c r="B31" s="133"/>
      <c r="C31" s="133"/>
      <c r="D31" s="134"/>
      <c r="E31" s="133"/>
      <c r="F31" s="133"/>
      <c r="G31" s="133"/>
    </row>
    <row r="32" spans="1:7" x14ac:dyDescent="0.25">
      <c r="A32" s="134"/>
      <c r="B32" s="133"/>
      <c r="C32" s="135"/>
      <c r="D32" s="133"/>
      <c r="E32" s="133"/>
      <c r="F32" s="133"/>
      <c r="G32" s="133"/>
    </row>
    <row r="33" spans="1:7" x14ac:dyDescent="0.25">
      <c r="A33" s="133"/>
      <c r="B33" s="133"/>
      <c r="C33" s="133"/>
      <c r="D33" s="134"/>
      <c r="E33" s="133"/>
      <c r="F33" s="135"/>
      <c r="G33" s="133"/>
    </row>
    <row r="34" spans="1:7" x14ac:dyDescent="0.25">
      <c r="A34" s="134"/>
      <c r="B34" s="133"/>
      <c r="C34" s="133"/>
      <c r="D34" s="133"/>
      <c r="E34" s="133"/>
      <c r="F34" s="133"/>
      <c r="G34" s="133"/>
    </row>
    <row r="35" spans="1:7" x14ac:dyDescent="0.25">
      <c r="A35" s="134"/>
      <c r="B35" s="133"/>
      <c r="C35" s="136"/>
      <c r="D35" s="133"/>
      <c r="E35" s="133"/>
      <c r="F35" s="133"/>
      <c r="G35" s="133"/>
    </row>
    <row r="36" spans="1:7" x14ac:dyDescent="0.25">
      <c r="A36" s="133"/>
      <c r="B36" s="133"/>
      <c r="C36" s="133"/>
      <c r="D36" s="134"/>
      <c r="E36" s="133"/>
      <c r="F36" s="135"/>
      <c r="G36" s="133"/>
    </row>
    <row r="37" spans="1:7" x14ac:dyDescent="0.25">
      <c r="A37" s="134"/>
      <c r="B37" s="133"/>
      <c r="C37" s="133"/>
      <c r="D37" s="133"/>
      <c r="E37" s="133"/>
      <c r="F37" s="133"/>
      <c r="G37" s="133"/>
    </row>
    <row r="38" spans="1:7" x14ac:dyDescent="0.25">
      <c r="A38" s="133"/>
      <c r="B38" s="133"/>
      <c r="C38" s="133"/>
      <c r="D38" s="134"/>
      <c r="E38" s="133"/>
      <c r="F38" s="135"/>
      <c r="G38" s="133"/>
    </row>
    <row r="39" spans="1:7" x14ac:dyDescent="0.25">
      <c r="A39" s="134"/>
      <c r="B39" s="133"/>
      <c r="C39" s="133"/>
      <c r="D39" s="133"/>
      <c r="E39" s="133"/>
      <c r="F39" s="133"/>
      <c r="G39" s="133"/>
    </row>
    <row r="40" spans="1:7" x14ac:dyDescent="0.25">
      <c r="A40" s="133"/>
      <c r="B40" s="133"/>
      <c r="C40" s="133"/>
      <c r="D40" s="133"/>
      <c r="E40" s="133"/>
      <c r="F40" s="133"/>
      <c r="G40" s="133"/>
    </row>
    <row r="41" spans="1:7" x14ac:dyDescent="0.25">
      <c r="A41" s="133"/>
      <c r="B41" s="133"/>
      <c r="C41" s="133"/>
      <c r="D41" s="134"/>
      <c r="E41" s="133"/>
      <c r="F41" s="135"/>
      <c r="G41" s="133"/>
    </row>
    <row r="42" spans="1:7" x14ac:dyDescent="0.25">
      <c r="A42" s="133"/>
      <c r="B42" s="133"/>
      <c r="C42" s="133"/>
      <c r="D42" s="133"/>
      <c r="E42" s="133"/>
      <c r="F42" s="133"/>
      <c r="G42" s="133"/>
    </row>
    <row r="43" spans="1:7" x14ac:dyDescent="0.25">
      <c r="A43" s="133"/>
      <c r="B43" s="133"/>
      <c r="C43" s="133"/>
      <c r="D43" s="133"/>
      <c r="E43" s="133"/>
      <c r="F43" s="133"/>
      <c r="G43" s="133"/>
    </row>
    <row r="44" spans="1:7" ht="15.6" x14ac:dyDescent="0.3">
      <c r="A44" s="116"/>
      <c r="B44" s="51" t="s">
        <v>129</v>
      </c>
      <c r="C44" s="67"/>
    </row>
    <row r="45" spans="1:7" ht="15.6" x14ac:dyDescent="0.3">
      <c r="A45" s="117"/>
      <c r="B45" s="64" t="s">
        <v>130</v>
      </c>
      <c r="C45" s="68">
        <f>[2]Set!J45</f>
        <v>1977.7500000000002</v>
      </c>
    </row>
    <row r="46" spans="1:7" x14ac:dyDescent="0.25">
      <c r="B46" s="105" t="s">
        <v>131</v>
      </c>
      <c r="C46" s="118"/>
    </row>
    <row r="47" spans="1:7" ht="15.6" x14ac:dyDescent="0.3">
      <c r="A47" s="105" t="s">
        <v>97</v>
      </c>
      <c r="B47" s="45" t="s">
        <v>132</v>
      </c>
      <c r="C47" s="69">
        <f>SUM(C45:C46)</f>
        <v>1977.7500000000002</v>
      </c>
    </row>
    <row r="48" spans="1:7" x14ac:dyDescent="0.25">
      <c r="B48" s="105" t="s">
        <v>133</v>
      </c>
      <c r="C48" s="118"/>
    </row>
    <row r="49" spans="1:3" ht="15.6" x14ac:dyDescent="0.3">
      <c r="A49" s="115"/>
      <c r="B49" s="64" t="s">
        <v>134</v>
      </c>
      <c r="C49" s="68">
        <f>[2]Set!J49</f>
        <v>721.92</v>
      </c>
    </row>
    <row r="50" spans="1:3" x14ac:dyDescent="0.25">
      <c r="B50" s="105" t="s">
        <v>131</v>
      </c>
      <c r="C50" s="118">
        <v>96.77</v>
      </c>
    </row>
    <row r="51" spans="1:3" ht="15.6" x14ac:dyDescent="0.3">
      <c r="A51" s="105" t="s">
        <v>97</v>
      </c>
      <c r="B51" s="45" t="s">
        <v>132</v>
      </c>
      <c r="C51" s="69">
        <f>SUM(C49:C50)</f>
        <v>818.68999999999994</v>
      </c>
    </row>
    <row r="52" spans="1:3" x14ac:dyDescent="0.25">
      <c r="B52" s="105" t="s">
        <v>133</v>
      </c>
      <c r="C52" s="118"/>
    </row>
    <row r="53" spans="1:3" ht="15.6" x14ac:dyDescent="0.3">
      <c r="A53" s="115"/>
      <c r="B53" s="64" t="s">
        <v>135</v>
      </c>
      <c r="C53" s="68">
        <f>[2]Set!J53</f>
        <v>5635</v>
      </c>
    </row>
    <row r="54" spans="1:3" x14ac:dyDescent="0.25">
      <c r="B54" s="105" t="s">
        <v>131</v>
      </c>
      <c r="C54" s="118"/>
    </row>
    <row r="55" spans="1:3" ht="15.6" x14ac:dyDescent="0.3">
      <c r="A55" s="105" t="s">
        <v>97</v>
      </c>
      <c r="B55" s="45" t="s">
        <v>132</v>
      </c>
      <c r="C55" s="69">
        <f>SUM(C53:C54)</f>
        <v>5635</v>
      </c>
    </row>
    <row r="56" spans="1:3" x14ac:dyDescent="0.25">
      <c r="B56" s="105" t="s">
        <v>133</v>
      </c>
      <c r="C56" s="118"/>
    </row>
    <row r="57" spans="1:3" ht="15.6" x14ac:dyDescent="0.3">
      <c r="A57" s="117"/>
      <c r="B57" s="64" t="s">
        <v>136</v>
      </c>
      <c r="C57" s="68">
        <f>[2]Set!J57</f>
        <v>0</v>
      </c>
    </row>
    <row r="58" spans="1:3" x14ac:dyDescent="0.25">
      <c r="B58" s="105" t="s">
        <v>131</v>
      </c>
      <c r="C58" s="118"/>
    </row>
    <row r="59" spans="1:3" ht="15.6" x14ac:dyDescent="0.3">
      <c r="A59" s="105" t="s">
        <v>97</v>
      </c>
      <c r="B59" s="45" t="s">
        <v>132</v>
      </c>
      <c r="C59" s="69">
        <f>SUM(C57:C58)</f>
        <v>0</v>
      </c>
    </row>
    <row r="60" spans="1:3" x14ac:dyDescent="0.25">
      <c r="B60" s="105" t="s">
        <v>133</v>
      </c>
      <c r="C60" s="118"/>
    </row>
    <row r="61" spans="1:3" ht="15.6" x14ac:dyDescent="0.3">
      <c r="A61" s="119"/>
      <c r="B61" s="60" t="s">
        <v>137</v>
      </c>
      <c r="C61" s="61">
        <f>SUM(C47,C51,C55,C59,-C48,-C52,-C56,-C60)</f>
        <v>8431.44</v>
      </c>
    </row>
    <row r="62" spans="1:3" ht="17.399999999999999" x14ac:dyDescent="0.3">
      <c r="A62" s="70"/>
      <c r="B62" s="70" t="s">
        <v>138</v>
      </c>
      <c r="C62" s="71">
        <f>SUM(C61+F24)</f>
        <v>9665.69</v>
      </c>
    </row>
  </sheetData>
  <mergeCells count="4">
    <mergeCell ref="A2:C2"/>
    <mergeCell ref="A5:C5"/>
    <mergeCell ref="D5:F5"/>
    <mergeCell ref="A1:F1"/>
  </mergeCells>
  <pageMargins left="0.511811024" right="0.511811024" top="0.78740157499999996" bottom="0.78740157499999996" header="0.31496062000000002" footer="0.31496062000000002"/>
  <pageSetup paperSize="9" orientation="portrait" r:id="rId1"/>
  <drawing r:id="rId2"/>
  <tableParts count="2"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4FB84-0112-44C8-BF53-BDD5D9F15AB0}">
  <dimension ref="A1"/>
  <sheetViews>
    <sheetView zoomScale="83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Plano de Contas </vt:lpstr>
      <vt:lpstr>Planilha1</vt:lpstr>
      <vt:lpstr>BP Inicial</vt:lpstr>
      <vt:lpstr>Consolidação</vt:lpstr>
      <vt:lpstr>1° Trimestre</vt:lpstr>
      <vt:lpstr>Razonete</vt:lpstr>
      <vt:lpstr>Balanço Patrimonial</vt:lpstr>
      <vt:lpstr>DFC</vt:lpstr>
      <vt:lpstr>Fluxo Caixa</vt:lpstr>
      <vt:lpstr>Planilha2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matheus Matias otton</dc:creator>
  <cp:keywords/>
  <dc:description/>
  <cp:lastModifiedBy>matheus Matias otton</cp:lastModifiedBy>
  <cp:revision/>
  <dcterms:created xsi:type="dcterms:W3CDTF">2015-06-05T18:19:34Z</dcterms:created>
  <dcterms:modified xsi:type="dcterms:W3CDTF">2022-10-30T05:03:23Z</dcterms:modified>
  <cp:category/>
  <cp:contentStatus/>
</cp:coreProperties>
</file>